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Pfx Engagement\WM\WorkPapers\{A915A1B5-E409-49A7-942C-CA9542638374}\{0A2BDF47-3CFD-4B59-9614-CFAAAA76435A}\"/>
    </mc:Choice>
  </mc:AlternateContent>
  <xr:revisionPtr revIDLastSave="0" documentId="13_ncr:1_{A7A3B38C-8387-4032-B867-0F19FCE3BAB9}" xr6:coauthVersionLast="47" xr6:coauthVersionMax="47" xr10:uidLastSave="{00000000-0000-0000-0000-000000000000}"/>
  <bookViews>
    <workbookView xWindow="-108" yWindow="-108" windowWidth="23256" windowHeight="12456" tabRatio="847" activeTab="7" xr2:uid="{00000000-000D-0000-FFFF-FFFF00000000}"/>
  </bookViews>
  <sheets>
    <sheet name="2024 Data" sheetId="29" r:id="rId1"/>
    <sheet name="2023 Data" sheetId="30" r:id="rId2"/>
    <sheet name="Regular" sheetId="12" r:id="rId3"/>
    <sheet name="Reg - Amort" sheetId="26" r:id="rId4"/>
    <sheet name="Sheriffs and Deputies" sheetId="20" r:id="rId5"/>
    <sheet name="S + D Amort" sheetId="27" r:id="rId6"/>
    <sheet name="Protection Occupation" sheetId="21" r:id="rId7"/>
    <sheet name="Pro Occ Amort" sheetId="28" r:id="rId8"/>
    <sheet name="Journal Entry Summary" sheetId="22" r:id="rId9"/>
    <sheet name="Allocation Govt &amp; BT" sheetId="32" r:id="rId10"/>
    <sheet name="Amort Summary" sheetId="31" r:id="rId11"/>
    <sheet name="Note Info" sheetId="33" r:id="rId12"/>
    <sheet name="Proportionate Change Calculator" sheetId="23" r:id="rId13"/>
  </sheets>
  <definedNames>
    <definedName name="_xlnm.Print_Area" localSheetId="6">'Protection Occupation'!$A$1:$P$143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28" l="1"/>
  <c r="O20" i="28"/>
  <c r="O33" i="27"/>
  <c r="O19" i="27"/>
  <c r="O35" i="26"/>
  <c r="O20" i="26"/>
  <c r="B79" i="21" l="1"/>
  <c r="B79" i="20"/>
  <c r="L45" i="27" l="1"/>
  <c r="G45" i="27"/>
  <c r="Q29" i="26"/>
  <c r="P29" i="26"/>
  <c r="O29" i="26"/>
  <c r="N29" i="26"/>
  <c r="M29" i="26"/>
  <c r="P28" i="26"/>
  <c r="O28" i="26"/>
  <c r="N28" i="26"/>
  <c r="M28" i="26"/>
  <c r="L28" i="26"/>
  <c r="Q28" i="26" s="1"/>
  <c r="O27" i="26"/>
  <c r="N27" i="26"/>
  <c r="M27" i="26"/>
  <c r="L27" i="26"/>
  <c r="K27" i="26"/>
  <c r="N26" i="26"/>
  <c r="M26" i="26"/>
  <c r="L26" i="26"/>
  <c r="K26" i="26"/>
  <c r="J26" i="26"/>
  <c r="M25" i="26"/>
  <c r="L25" i="26"/>
  <c r="K25" i="26"/>
  <c r="J25" i="26"/>
  <c r="I25" i="26"/>
  <c r="G16" i="26"/>
  <c r="G31" i="26" s="1"/>
  <c r="R15" i="26"/>
  <c r="Q15" i="26"/>
  <c r="P15" i="26"/>
  <c r="O15" i="26"/>
  <c r="N15" i="26"/>
  <c r="S15" i="26" s="1"/>
  <c r="Q14" i="26"/>
  <c r="P14" i="26"/>
  <c r="O14" i="26"/>
  <c r="N14" i="26"/>
  <c r="P13" i="26"/>
  <c r="O13" i="26"/>
  <c r="N13" i="26"/>
  <c r="O12" i="26"/>
  <c r="N12" i="26"/>
  <c r="N11" i="26"/>
  <c r="G47" i="26"/>
  <c r="G16" i="28" l="1"/>
  <c r="G31" i="28" s="1"/>
  <c r="G16" i="27"/>
  <c r="G30" i="27" s="1"/>
  <c r="S16" i="26"/>
  <c r="Q16" i="26"/>
  <c r="P27" i="26"/>
  <c r="U15" i="26"/>
  <c r="R31" i="26"/>
  <c r="O31" i="26"/>
  <c r="S31" i="26"/>
  <c r="N25" i="26"/>
  <c r="O16" i="26"/>
  <c r="O26" i="26"/>
  <c r="R16" i="26"/>
  <c r="R29" i="26"/>
  <c r="P16" i="26"/>
  <c r="P31" i="26"/>
  <c r="Q31" i="26"/>
  <c r="T16" i="26" l="1"/>
  <c r="U16" i="26" s="1"/>
  <c r="T31" i="26"/>
  <c r="U31" i="26" s="1"/>
  <c r="S31" i="28" l="1"/>
  <c r="R31" i="28"/>
  <c r="Q31" i="28"/>
  <c r="P31" i="28"/>
  <c r="O31" i="28"/>
  <c r="S16" i="28"/>
  <c r="R16" i="28"/>
  <c r="Q16" i="28"/>
  <c r="P16" i="28"/>
  <c r="O16" i="28"/>
  <c r="S16" i="27"/>
  <c r="R16" i="27"/>
  <c r="Q16" i="27"/>
  <c r="P16" i="27"/>
  <c r="O16" i="27"/>
  <c r="S30" i="27"/>
  <c r="R30" i="27"/>
  <c r="Q30" i="27"/>
  <c r="P30" i="27"/>
  <c r="O30" i="27"/>
  <c r="T31" i="28" l="1"/>
  <c r="U31" i="28"/>
  <c r="T16" i="27"/>
  <c r="U16" i="27" s="1"/>
  <c r="T30" i="27"/>
  <c r="U30" i="27" s="1"/>
  <c r="T16" i="28"/>
  <c r="U16" i="28" s="1"/>
  <c r="F35" i="30"/>
  <c r="F34" i="30"/>
  <c r="F33" i="30"/>
  <c r="F33" i="29"/>
  <c r="F26" i="30"/>
  <c r="L22" i="30"/>
  <c r="J22" i="30"/>
  <c r="H22" i="30"/>
  <c r="F22" i="30"/>
  <c r="F21" i="30"/>
  <c r="F20" i="30"/>
  <c r="F19" i="30"/>
  <c r="L16" i="30"/>
  <c r="J16" i="30"/>
  <c r="F16" i="30" s="1"/>
  <c r="H16" i="30"/>
  <c r="F15" i="30"/>
  <c r="F14" i="30"/>
  <c r="F13" i="30"/>
  <c r="F10" i="30"/>
  <c r="L7" i="30"/>
  <c r="J7" i="30"/>
  <c r="H7" i="30"/>
  <c r="F7" i="30" s="1"/>
  <c r="F6" i="30"/>
  <c r="F5" i="30"/>
  <c r="M14" i="26"/>
  <c r="L13" i="26"/>
  <c r="K12" i="26"/>
  <c r="J11" i="26"/>
  <c r="J10" i="26"/>
  <c r="K10" i="26"/>
  <c r="I10" i="26"/>
  <c r="L57" i="12"/>
  <c r="C25" i="23" s="1"/>
  <c r="J57" i="12"/>
  <c r="C26" i="23" s="1"/>
  <c r="H59" i="12"/>
  <c r="F6" i="29"/>
  <c r="F5" i="29"/>
  <c r="R14" i="26" l="1"/>
  <c r="U14" i="26" s="1"/>
  <c r="F31" i="30"/>
  <c r="F31" i="29"/>
  <c r="F11" i="26" l="1"/>
  <c r="I8" i="26"/>
  <c r="L46" i="28"/>
  <c r="B33" i="32"/>
  <c r="A32" i="32"/>
  <c r="B49" i="32"/>
  <c r="B48" i="32"/>
  <c r="A35" i="32"/>
  <c r="B18" i="32"/>
  <c r="W42" i="22"/>
  <c r="W41" i="22"/>
  <c r="B32" i="22"/>
  <c r="B30" i="32" s="1"/>
  <c r="B31" i="22"/>
  <c r="B29" i="32" s="1"/>
  <c r="B20" i="22"/>
  <c r="F12" i="26" l="1"/>
  <c r="F27" i="26" s="1"/>
  <c r="F26" i="27" s="1"/>
  <c r="J8" i="26"/>
  <c r="G14" i="28"/>
  <c r="G13" i="28"/>
  <c r="G12" i="28"/>
  <c r="F12" i="28"/>
  <c r="G11" i="28"/>
  <c r="F11" i="28"/>
  <c r="G10" i="28"/>
  <c r="F10" i="28"/>
  <c r="G14" i="27"/>
  <c r="G13" i="27"/>
  <c r="G12" i="27"/>
  <c r="F12" i="27"/>
  <c r="G11" i="27"/>
  <c r="F11" i="27"/>
  <c r="G10" i="27"/>
  <c r="F10" i="27"/>
  <c r="J8" i="27"/>
  <c r="I8" i="27"/>
  <c r="F25" i="26"/>
  <c r="F24" i="27" s="1"/>
  <c r="G24" i="27"/>
  <c r="F26" i="26"/>
  <c r="F25" i="27" s="1"/>
  <c r="G25" i="27"/>
  <c r="G26" i="27"/>
  <c r="G27" i="27"/>
  <c r="G28" i="27"/>
  <c r="B137" i="21"/>
  <c r="B136" i="21"/>
  <c r="B128" i="21"/>
  <c r="A111" i="21"/>
  <c r="L34" i="21"/>
  <c r="J34" i="21"/>
  <c r="B7" i="21"/>
  <c r="B137" i="20"/>
  <c r="B136" i="20"/>
  <c r="B128" i="20"/>
  <c r="A111" i="20"/>
  <c r="L34" i="20"/>
  <c r="J34" i="20"/>
  <c r="B7" i="20"/>
  <c r="J75" i="12"/>
  <c r="M24" i="27" l="1"/>
  <c r="K24" i="27"/>
  <c r="L24" i="27"/>
  <c r="J24" i="27"/>
  <c r="I24" i="27"/>
  <c r="K10" i="28"/>
  <c r="I10" i="28"/>
  <c r="M10" i="28"/>
  <c r="J10" i="28"/>
  <c r="L10" i="28"/>
  <c r="O12" i="28"/>
  <c r="M12" i="28"/>
  <c r="P12" i="28" s="1"/>
  <c r="N12" i="28"/>
  <c r="L12" i="28"/>
  <c r="K12" i="28"/>
  <c r="K25" i="27"/>
  <c r="J25" i="27"/>
  <c r="N25" i="27"/>
  <c r="L25" i="27"/>
  <c r="M25" i="27"/>
  <c r="O14" i="27"/>
  <c r="M14" i="27"/>
  <c r="Q14" i="27"/>
  <c r="N14" i="27"/>
  <c r="P14" i="27"/>
  <c r="L11" i="28"/>
  <c r="K11" i="28"/>
  <c r="J11" i="28"/>
  <c r="N11" i="28"/>
  <c r="M11" i="28"/>
  <c r="M13" i="28"/>
  <c r="P13" i="28"/>
  <c r="O13" i="28"/>
  <c r="N13" i="28"/>
  <c r="L13" i="28"/>
  <c r="Q13" i="28" s="1"/>
  <c r="M27" i="27"/>
  <c r="P27" i="27"/>
  <c r="O27" i="27"/>
  <c r="L27" i="27"/>
  <c r="N27" i="27"/>
  <c r="N11" i="27"/>
  <c r="M11" i="27"/>
  <c r="L11" i="27"/>
  <c r="K11" i="27"/>
  <c r="J11" i="27"/>
  <c r="O11" i="27" s="1"/>
  <c r="L13" i="27"/>
  <c r="P13" i="27"/>
  <c r="O13" i="27"/>
  <c r="N13" i="27"/>
  <c r="M13" i="27"/>
  <c r="I10" i="27"/>
  <c r="M10" i="27"/>
  <c r="L10" i="27"/>
  <c r="K10" i="27"/>
  <c r="J10" i="27"/>
  <c r="M28" i="27"/>
  <c r="O28" i="27"/>
  <c r="Q28" i="27"/>
  <c r="P28" i="27"/>
  <c r="N28" i="27"/>
  <c r="Q14" i="28"/>
  <c r="P14" i="28"/>
  <c r="O14" i="28"/>
  <c r="N14" i="28"/>
  <c r="M14" i="28"/>
  <c r="O26" i="27"/>
  <c r="N26" i="27"/>
  <c r="M26" i="27"/>
  <c r="L26" i="27"/>
  <c r="K26" i="27"/>
  <c r="K12" i="27"/>
  <c r="L12" i="27"/>
  <c r="O12" i="27"/>
  <c r="N12" i="27"/>
  <c r="M12" i="27"/>
  <c r="G15" i="27"/>
  <c r="F13" i="26"/>
  <c r="K8" i="26"/>
  <c r="K8" i="27" s="1"/>
  <c r="H59" i="20"/>
  <c r="J57" i="20"/>
  <c r="J57" i="21"/>
  <c r="H59" i="21"/>
  <c r="J75" i="21"/>
  <c r="L57" i="21"/>
  <c r="J75" i="20"/>
  <c r="L57" i="20"/>
  <c r="F27" i="28"/>
  <c r="G27" i="28"/>
  <c r="G28" i="28"/>
  <c r="F25" i="28"/>
  <c r="G15" i="28"/>
  <c r="G25" i="28"/>
  <c r="G29" i="28"/>
  <c r="I8" i="28"/>
  <c r="F26" i="28"/>
  <c r="J8" i="28"/>
  <c r="G26" i="28"/>
  <c r="G30" i="26"/>
  <c r="N30" i="26" l="1"/>
  <c r="R30" i="26"/>
  <c r="Q30" i="26"/>
  <c r="O30" i="26"/>
  <c r="P30" i="26"/>
  <c r="O25" i="27"/>
  <c r="R14" i="27"/>
  <c r="M29" i="28"/>
  <c r="Q29" i="28"/>
  <c r="N29" i="28"/>
  <c r="P29" i="28"/>
  <c r="O29" i="28"/>
  <c r="I25" i="28"/>
  <c r="M25" i="28"/>
  <c r="L25" i="28"/>
  <c r="K25" i="28"/>
  <c r="J25" i="28"/>
  <c r="P26" i="27"/>
  <c r="O28" i="28"/>
  <c r="N28" i="28"/>
  <c r="P28" i="28"/>
  <c r="M28" i="28"/>
  <c r="L28" i="28"/>
  <c r="Q28" i="28" s="1"/>
  <c r="N10" i="28"/>
  <c r="N27" i="28"/>
  <c r="L27" i="28"/>
  <c r="K27" i="28"/>
  <c r="O27" i="28"/>
  <c r="M27" i="28"/>
  <c r="N10" i="27"/>
  <c r="R14" i="28"/>
  <c r="M26" i="28"/>
  <c r="K26" i="28"/>
  <c r="N26" i="28"/>
  <c r="L26" i="28"/>
  <c r="J26" i="28"/>
  <c r="N24" i="27"/>
  <c r="Q13" i="27"/>
  <c r="R28" i="27"/>
  <c r="O11" i="28"/>
  <c r="Q27" i="27"/>
  <c r="P12" i="27"/>
  <c r="R15" i="28"/>
  <c r="Q15" i="28"/>
  <c r="P15" i="28"/>
  <c r="O15" i="28"/>
  <c r="N15" i="28"/>
  <c r="R15" i="27"/>
  <c r="Q15" i="27"/>
  <c r="P15" i="27"/>
  <c r="O15" i="27"/>
  <c r="N15" i="27"/>
  <c r="K8" i="28"/>
  <c r="F14" i="26"/>
  <c r="L8" i="26"/>
  <c r="F13" i="28"/>
  <c r="F28" i="26"/>
  <c r="F13" i="27"/>
  <c r="G29" i="27"/>
  <c r="G30" i="28"/>
  <c r="S30" i="26" l="1"/>
  <c r="O26" i="28"/>
  <c r="P27" i="28"/>
  <c r="N25" i="28"/>
  <c r="R29" i="28"/>
  <c r="S15" i="27"/>
  <c r="R29" i="27"/>
  <c r="Q29" i="27"/>
  <c r="P29" i="27"/>
  <c r="O29" i="27"/>
  <c r="N29" i="27"/>
  <c r="S15" i="28"/>
  <c r="R30" i="28"/>
  <c r="Q30" i="28"/>
  <c r="P30" i="28"/>
  <c r="O30" i="28"/>
  <c r="N30" i="28"/>
  <c r="F27" i="27"/>
  <c r="F28" i="28"/>
  <c r="L8" i="27"/>
  <c r="L8" i="28"/>
  <c r="F15" i="26"/>
  <c r="M8" i="26"/>
  <c r="F14" i="27"/>
  <c r="F29" i="26"/>
  <c r="F14" i="28"/>
  <c r="S30" i="28" l="1"/>
  <c r="S29" i="27"/>
  <c r="F16" i="26"/>
  <c r="F16" i="28" s="1"/>
  <c r="N8" i="26"/>
  <c r="F15" i="27"/>
  <c r="F15" i="28"/>
  <c r="F30" i="26"/>
  <c r="F28" i="27"/>
  <c r="F29" i="28"/>
  <c r="M8" i="27"/>
  <c r="M8" i="28"/>
  <c r="F29" i="27" l="1"/>
  <c r="F30" i="28"/>
  <c r="N8" i="27"/>
  <c r="N8" i="28"/>
  <c r="F31" i="26"/>
  <c r="F16" i="27"/>
  <c r="O8" i="26"/>
  <c r="F30" i="27" l="1"/>
  <c r="F31" i="28"/>
  <c r="P8" i="26"/>
  <c r="O8" i="28"/>
  <c r="O8" i="27"/>
  <c r="M10" i="26"/>
  <c r="M11" i="26"/>
  <c r="M12" i="26"/>
  <c r="M13" i="26"/>
  <c r="L10" i="26"/>
  <c r="N10" i="26" s="1"/>
  <c r="U10" i="26" s="1"/>
  <c r="L11" i="26"/>
  <c r="L12" i="26"/>
  <c r="K11" i="26"/>
  <c r="P12" i="26" l="1"/>
  <c r="U12" i="26" s="1"/>
  <c r="O11" i="26"/>
  <c r="Q13" i="26"/>
  <c r="U13" i="26" s="1"/>
  <c r="U11" i="26"/>
  <c r="Q8" i="26"/>
  <c r="E41" i="26"/>
  <c r="A6" i="31" s="1"/>
  <c r="P8" i="28"/>
  <c r="E40" i="28" s="1"/>
  <c r="P8" i="27"/>
  <c r="E39" i="27" s="1"/>
  <c r="J130" i="12"/>
  <c r="H131" i="12" s="1"/>
  <c r="O19" i="26" l="1"/>
  <c r="R8" i="26"/>
  <c r="Q8" i="28"/>
  <c r="E41" i="28" s="1"/>
  <c r="Q8" i="27"/>
  <c r="E40" i="27" s="1"/>
  <c r="E42" i="26"/>
  <c r="A7" i="31" s="1"/>
  <c r="J130" i="20"/>
  <c r="H131" i="20" s="1"/>
  <c r="O18" i="27"/>
  <c r="S8" i="26" l="1"/>
  <c r="R8" i="27"/>
  <c r="E41" i="27" s="1"/>
  <c r="R8" i="28"/>
  <c r="E42" i="28" s="1"/>
  <c r="E43" i="26"/>
  <c r="A8" i="31" s="1"/>
  <c r="L7" i="29"/>
  <c r="J7" i="29"/>
  <c r="H7" i="29"/>
  <c r="E44" i="26" l="1"/>
  <c r="A9" i="31" s="1"/>
  <c r="T8" i="26"/>
  <c r="S8" i="28"/>
  <c r="E43" i="28" s="1"/>
  <c r="S8" i="27"/>
  <c r="E42" i="27" s="1"/>
  <c r="W43" i="22"/>
  <c r="W44" i="22"/>
  <c r="W45" i="22"/>
  <c r="W46" i="22"/>
  <c r="W47" i="22"/>
  <c r="T8" i="28" l="1"/>
  <c r="E44" i="28" s="1"/>
  <c r="T8" i="27"/>
  <c r="E43" i="27" s="1"/>
  <c r="E45" i="26"/>
  <c r="A10" i="31" s="1"/>
  <c r="H44" i="23"/>
  <c r="H43" i="23"/>
  <c r="H42" i="23"/>
  <c r="M16" i="21" l="1"/>
  <c r="M15" i="21"/>
  <c r="M14" i="21"/>
  <c r="L16" i="21"/>
  <c r="L15" i="21"/>
  <c r="L14" i="21"/>
  <c r="J13" i="21"/>
  <c r="J13" i="12"/>
  <c r="M16" i="12"/>
  <c r="M15" i="12"/>
  <c r="M14" i="12"/>
  <c r="L16" i="12"/>
  <c r="L15" i="12"/>
  <c r="L14" i="12"/>
  <c r="P54" i="30" l="1"/>
  <c r="V52" i="30"/>
  <c r="T52" i="30"/>
  <c r="R52" i="30"/>
  <c r="P51" i="30"/>
  <c r="P50" i="30"/>
  <c r="P49" i="30"/>
  <c r="V46" i="30"/>
  <c r="T46" i="30"/>
  <c r="R46" i="30"/>
  <c r="P45" i="30"/>
  <c r="P44" i="30"/>
  <c r="P43" i="30"/>
  <c r="P40" i="30"/>
  <c r="P39" i="30"/>
  <c r="P38" i="30"/>
  <c r="L28" i="30"/>
  <c r="L50" i="30" s="1"/>
  <c r="J28" i="30"/>
  <c r="J40" i="30" s="1"/>
  <c r="H28" i="30"/>
  <c r="H49" i="30" s="1"/>
  <c r="P24" i="30"/>
  <c r="N24" i="30"/>
  <c r="F24" i="30"/>
  <c r="F8" i="30"/>
  <c r="P52" i="30" l="1"/>
  <c r="P46" i="30"/>
  <c r="X24" i="30"/>
  <c r="L45" i="30"/>
  <c r="L39" i="30"/>
  <c r="H51" i="30"/>
  <c r="H38" i="30"/>
  <c r="H43" i="30"/>
  <c r="H30" i="30"/>
  <c r="H44" i="30"/>
  <c r="E6" i="30"/>
  <c r="L38" i="30"/>
  <c r="J30" i="30"/>
  <c r="J43" i="30"/>
  <c r="H39" i="30"/>
  <c r="L40" i="30"/>
  <c r="H45" i="30"/>
  <c r="J49" i="30"/>
  <c r="J38" i="30"/>
  <c r="J39" i="30"/>
  <c r="J13" i="20" s="1"/>
  <c r="J45" i="30"/>
  <c r="L16" i="20" s="1"/>
  <c r="L49" i="30"/>
  <c r="H54" i="30"/>
  <c r="J54" i="30"/>
  <c r="L54" i="30"/>
  <c r="J44" i="30"/>
  <c r="L44" i="30"/>
  <c r="J51" i="30"/>
  <c r="H50" i="30"/>
  <c r="L51" i="30"/>
  <c r="L30" i="30"/>
  <c r="H40" i="30"/>
  <c r="N40" i="30" s="1"/>
  <c r="X40" i="30" s="1"/>
  <c r="L43" i="30"/>
  <c r="J50" i="30"/>
  <c r="M15" i="20" s="1"/>
  <c r="H46" i="30" l="1"/>
  <c r="N38" i="30"/>
  <c r="X38" i="30" s="1"/>
  <c r="N51" i="30"/>
  <c r="X51" i="30" s="1"/>
  <c r="M16" i="20"/>
  <c r="N50" i="30"/>
  <c r="X50" i="30" s="1"/>
  <c r="N49" i="30"/>
  <c r="X49" i="30" s="1"/>
  <c r="M14" i="20"/>
  <c r="N44" i="30"/>
  <c r="X44" i="30" s="1"/>
  <c r="L15" i="20"/>
  <c r="N43" i="30"/>
  <c r="X43" i="30" s="1"/>
  <c r="L14" i="20"/>
  <c r="L46" i="30"/>
  <c r="N45" i="30"/>
  <c r="X45" i="30" s="1"/>
  <c r="N54" i="30"/>
  <c r="X54" i="30" s="1"/>
  <c r="N39" i="30"/>
  <c r="X39" i="30" s="1"/>
  <c r="J52" i="30"/>
  <c r="L52" i="30"/>
  <c r="J46" i="30"/>
  <c r="H52" i="30"/>
  <c r="N52" i="30" l="1"/>
  <c r="X52" i="30" s="1"/>
  <c r="N46" i="30"/>
  <c r="X46" i="30" s="1"/>
  <c r="U14" i="27"/>
  <c r="U28" i="27"/>
  <c r="U29" i="28"/>
  <c r="U29" i="26"/>
  <c r="U14" i="28"/>
  <c r="J45" i="21"/>
  <c r="M10" i="21" l="1"/>
  <c r="M9" i="21"/>
  <c r="M8" i="21"/>
  <c r="L10" i="21"/>
  <c r="L9" i="21"/>
  <c r="L8" i="21"/>
  <c r="G13" i="21"/>
  <c r="J58" i="21" s="1"/>
  <c r="G13" i="20"/>
  <c r="J58" i="20" s="1"/>
  <c r="M10" i="20"/>
  <c r="M9" i="20"/>
  <c r="M8" i="20"/>
  <c r="L10" i="20"/>
  <c r="L9" i="20"/>
  <c r="L8" i="20"/>
  <c r="G13" i="12"/>
  <c r="M10" i="12"/>
  <c r="M9" i="12"/>
  <c r="M8" i="12"/>
  <c r="L10" i="12"/>
  <c r="L9" i="12"/>
  <c r="L8" i="12"/>
  <c r="U28" i="26" l="1"/>
  <c r="U13" i="28"/>
  <c r="U13" i="27"/>
  <c r="U28" i="28"/>
  <c r="U27" i="27"/>
  <c r="U12" i="27" l="1"/>
  <c r="U27" i="26"/>
  <c r="U26" i="27"/>
  <c r="U27" i="28"/>
  <c r="U12" i="28"/>
  <c r="J7" i="21" l="1"/>
  <c r="J7" i="20"/>
  <c r="H65" i="20" s="1"/>
  <c r="J7" i="12"/>
  <c r="E26" i="23" l="1"/>
  <c r="H15" i="33" l="1"/>
  <c r="J27" i="33" l="1"/>
  <c r="U11" i="27" l="1"/>
  <c r="U11" i="28"/>
  <c r="U25" i="27"/>
  <c r="U26" i="28"/>
  <c r="U26" i="26" l="1"/>
  <c r="N23" i="22"/>
  <c r="L24" i="22" s="1"/>
  <c r="J23" i="22"/>
  <c r="H24" i="22" s="1"/>
  <c r="P13" i="22" l="1"/>
  <c r="N13" i="22" l="1"/>
  <c r="K33" i="28" l="1"/>
  <c r="M33" i="28" l="1"/>
  <c r="L33" i="28"/>
  <c r="J130" i="21"/>
  <c r="U25" i="28"/>
  <c r="I33" i="28"/>
  <c r="M19" i="28"/>
  <c r="J19" i="28"/>
  <c r="K19" i="28"/>
  <c r="L19" i="28"/>
  <c r="J33" i="28"/>
  <c r="N19" i="28"/>
  <c r="I19" i="28"/>
  <c r="H131" i="21" l="1"/>
  <c r="R23" i="22"/>
  <c r="P24" i="22" s="1"/>
  <c r="U10" i="28"/>
  <c r="O19" i="28"/>
  <c r="H130" i="21"/>
  <c r="O33" i="28"/>
  <c r="N33" i="28"/>
  <c r="J131" i="21" l="1"/>
  <c r="P23" i="22"/>
  <c r="I18" i="27"/>
  <c r="I34" i="26"/>
  <c r="J34" i="26"/>
  <c r="K34" i="26"/>
  <c r="M34" i="26"/>
  <c r="L34" i="26"/>
  <c r="L32" i="27"/>
  <c r="T52" i="29"/>
  <c r="H130" i="20" l="1"/>
  <c r="I32" i="27"/>
  <c r="K32" i="27"/>
  <c r="M32" i="27"/>
  <c r="J32" i="27"/>
  <c r="U24" i="27" l="1"/>
  <c r="O32" i="27"/>
  <c r="J131" i="20"/>
  <c r="L23" i="22"/>
  <c r="N32" i="27"/>
  <c r="V22" i="22"/>
  <c r="H20" i="32" s="1"/>
  <c r="V23" i="22"/>
  <c r="V25" i="22"/>
  <c r="H23" i="32" s="1"/>
  <c r="T22" i="22"/>
  <c r="F20" i="32" s="1"/>
  <c r="T24" i="22"/>
  <c r="T25" i="22"/>
  <c r="F23" i="32" s="1"/>
  <c r="V8" i="22"/>
  <c r="H6" i="32" s="1"/>
  <c r="V10" i="22"/>
  <c r="H8" i="32" s="1"/>
  <c r="V14" i="22"/>
  <c r="H12" i="32" s="1"/>
  <c r="V19" i="22"/>
  <c r="H17" i="32" s="1"/>
  <c r="T10" i="22"/>
  <c r="F8" i="32" s="1"/>
  <c r="T14" i="22"/>
  <c r="F12" i="32" s="1"/>
  <c r="T16" i="22"/>
  <c r="F14" i="32" s="1"/>
  <c r="T19" i="22"/>
  <c r="F17" i="32" s="1"/>
  <c r="R7" i="22"/>
  <c r="R6" i="22"/>
  <c r="N12" i="22"/>
  <c r="N11" i="22"/>
  <c r="R12" i="22"/>
  <c r="R11" i="22"/>
  <c r="R13" i="22"/>
  <c r="P17" i="22"/>
  <c r="T17" i="22" s="1"/>
  <c r="F15" i="32" s="1"/>
  <c r="P20" i="22"/>
  <c r="P21" i="22"/>
  <c r="F22" i="32" l="1"/>
  <c r="AA23" i="22"/>
  <c r="H21" i="32"/>
  <c r="X23" i="22"/>
  <c r="L21" i="22"/>
  <c r="L15" i="22"/>
  <c r="L13" i="22"/>
  <c r="M44" i="27" l="1"/>
  <c r="O44" i="27" s="1"/>
  <c r="I11" i="31" s="1"/>
  <c r="M46" i="26"/>
  <c r="O46" i="26" s="1"/>
  <c r="H11" i="31" s="1"/>
  <c r="G46" i="28"/>
  <c r="L41" i="21"/>
  <c r="L42" i="21"/>
  <c r="L43" i="21"/>
  <c r="L39" i="21"/>
  <c r="L41" i="20"/>
  <c r="L42" i="20"/>
  <c r="L43" i="20"/>
  <c r="L39" i="20"/>
  <c r="L23" i="20" l="1"/>
  <c r="L23" i="12"/>
  <c r="P24" i="29"/>
  <c r="H47" i="23" l="1"/>
  <c r="G18" i="21" l="1"/>
  <c r="D47" i="28" s="1"/>
  <c r="G18" i="20"/>
  <c r="D46" i="27" s="1"/>
  <c r="G18" i="12"/>
  <c r="D48" i="26" s="1"/>
  <c r="H41" i="26" s="1"/>
  <c r="E47" i="21"/>
  <c r="L28" i="21"/>
  <c r="J128" i="21" s="1"/>
  <c r="R20" i="22" s="1"/>
  <c r="L23" i="21"/>
  <c r="J38" i="21"/>
  <c r="J39" i="21"/>
  <c r="J41" i="21"/>
  <c r="J42" i="21"/>
  <c r="J43" i="21"/>
  <c r="H65" i="21"/>
  <c r="H94" i="21"/>
  <c r="H94" i="20"/>
  <c r="L28" i="20"/>
  <c r="L28" i="12"/>
  <c r="J41" i="12"/>
  <c r="J42" i="12"/>
  <c r="J43" i="12"/>
  <c r="J39" i="12"/>
  <c r="J45" i="12"/>
  <c r="M44" i="26" l="1"/>
  <c r="M45" i="26"/>
  <c r="M18" i="27"/>
  <c r="L18" i="27"/>
  <c r="M43" i="26"/>
  <c r="M42" i="26"/>
  <c r="M41" i="26"/>
  <c r="H42" i="28"/>
  <c r="M42" i="28"/>
  <c r="M45" i="28"/>
  <c r="O45" i="28" s="1"/>
  <c r="J11" i="31" s="1"/>
  <c r="K11" i="31" s="1"/>
  <c r="M41" i="28"/>
  <c r="M44" i="28"/>
  <c r="M40" i="28"/>
  <c r="M43" i="28"/>
  <c r="H41" i="28"/>
  <c r="H43" i="28"/>
  <c r="H45" i="28"/>
  <c r="J45" i="28" s="1"/>
  <c r="E11" i="31" s="1"/>
  <c r="H40" i="28"/>
  <c r="H44" i="28"/>
  <c r="M40" i="27"/>
  <c r="M43" i="27"/>
  <c r="M39" i="27"/>
  <c r="M42" i="27"/>
  <c r="M41" i="27"/>
  <c r="H42" i="27"/>
  <c r="H41" i="27"/>
  <c r="H43" i="27"/>
  <c r="H44" i="27"/>
  <c r="J44" i="27" s="1"/>
  <c r="D11" i="31" s="1"/>
  <c r="H40" i="27"/>
  <c r="H39" i="27"/>
  <c r="H46" i="26"/>
  <c r="J46" i="26" s="1"/>
  <c r="C11" i="31" s="1"/>
  <c r="H43" i="26"/>
  <c r="H45" i="26"/>
  <c r="H44" i="26"/>
  <c r="H42" i="26"/>
  <c r="L17" i="21"/>
  <c r="M17" i="12"/>
  <c r="M11" i="21"/>
  <c r="H63" i="21" s="1"/>
  <c r="L17" i="12"/>
  <c r="L11" i="21"/>
  <c r="H61" i="21" s="1"/>
  <c r="M17" i="21"/>
  <c r="J37" i="21"/>
  <c r="L78" i="21"/>
  <c r="N24" i="22"/>
  <c r="E47" i="20"/>
  <c r="J128" i="20"/>
  <c r="N20" i="22" s="1"/>
  <c r="J18" i="27" l="1"/>
  <c r="N18" i="27"/>
  <c r="K19" i="26"/>
  <c r="L19" i="26"/>
  <c r="M19" i="26"/>
  <c r="I19" i="26"/>
  <c r="J19" i="26"/>
  <c r="M47" i="26"/>
  <c r="H46" i="28"/>
  <c r="U10" i="27"/>
  <c r="K18" i="27"/>
  <c r="M46" i="28"/>
  <c r="M45" i="27"/>
  <c r="F11" i="31"/>
  <c r="M11" i="31" s="1"/>
  <c r="O11" i="31" s="1"/>
  <c r="H45" i="27"/>
  <c r="H47" i="26"/>
  <c r="L11" i="20"/>
  <c r="H61" i="20" s="1"/>
  <c r="M11" i="20"/>
  <c r="H63" i="20" s="1"/>
  <c r="L78" i="20"/>
  <c r="H94" i="12"/>
  <c r="E47" i="12"/>
  <c r="N24" i="29"/>
  <c r="X24" i="29" s="1"/>
  <c r="L28" i="29"/>
  <c r="L30" i="29" s="1"/>
  <c r="J28" i="29"/>
  <c r="J30" i="29" s="1"/>
  <c r="H28" i="29"/>
  <c r="F24" i="29"/>
  <c r="F26" i="29"/>
  <c r="F35" i="29"/>
  <c r="F21" i="29"/>
  <c r="F20" i="29"/>
  <c r="F19" i="29"/>
  <c r="F15" i="29"/>
  <c r="F14" i="29"/>
  <c r="F13" i="29"/>
  <c r="F10" i="29"/>
  <c r="L22" i="29"/>
  <c r="L47" i="28" s="1"/>
  <c r="J22" i="29"/>
  <c r="L46" i="27" s="1"/>
  <c r="H22" i="29"/>
  <c r="L48" i="26" s="1"/>
  <c r="L16" i="29"/>
  <c r="G47" i="28" s="1"/>
  <c r="J16" i="29"/>
  <c r="G46" i="27" s="1"/>
  <c r="H16" i="29"/>
  <c r="G48" i="26" l="1"/>
  <c r="N19" i="26"/>
  <c r="F22" i="29"/>
  <c r="H49" i="29"/>
  <c r="H30" i="29"/>
  <c r="F34" i="29"/>
  <c r="L50" i="29"/>
  <c r="J44" i="29"/>
  <c r="L38" i="20" s="1"/>
  <c r="L26" i="12"/>
  <c r="H44" i="29"/>
  <c r="J45" i="20"/>
  <c r="J39" i="20"/>
  <c r="J41" i="20"/>
  <c r="O41" i="20" s="1"/>
  <c r="N15" i="22" s="1"/>
  <c r="J42" i="20"/>
  <c r="O42" i="20" s="1"/>
  <c r="N16" i="22" s="1"/>
  <c r="L54" i="29"/>
  <c r="J54" i="29"/>
  <c r="H47" i="20" s="1"/>
  <c r="H43" i="29"/>
  <c r="H38" i="29"/>
  <c r="H45" i="29"/>
  <c r="H50" i="29"/>
  <c r="H40" i="29"/>
  <c r="H51" i="29"/>
  <c r="H39" i="29"/>
  <c r="H54" i="29"/>
  <c r="L49" i="29"/>
  <c r="L44" i="29"/>
  <c r="J40" i="29"/>
  <c r="L45" i="29"/>
  <c r="O43" i="21" s="1"/>
  <c r="L51" i="29"/>
  <c r="L40" i="29"/>
  <c r="L39" i="29"/>
  <c r="L38" i="29"/>
  <c r="L43" i="29"/>
  <c r="L37" i="21" s="1"/>
  <c r="J50" i="29"/>
  <c r="J39" i="29"/>
  <c r="J38" i="29"/>
  <c r="J43" i="29"/>
  <c r="L37" i="20" s="1"/>
  <c r="J45" i="29"/>
  <c r="J49" i="29"/>
  <c r="J51" i="29"/>
  <c r="F16" i="29"/>
  <c r="F8" i="29"/>
  <c r="F7" i="29"/>
  <c r="E25" i="23" l="1"/>
  <c r="H36" i="23" s="1"/>
  <c r="E6" i="29"/>
  <c r="O42" i="21"/>
  <c r="L38" i="21"/>
  <c r="N38" i="21" s="1"/>
  <c r="H115" i="21" s="1"/>
  <c r="P7" i="22" s="1"/>
  <c r="N37" i="21"/>
  <c r="H114" i="21" s="1"/>
  <c r="P6" i="22" s="1"/>
  <c r="H125" i="21"/>
  <c r="R17" i="22"/>
  <c r="V52" i="29"/>
  <c r="P40" i="29"/>
  <c r="V46" i="29"/>
  <c r="O41" i="21"/>
  <c r="H123" i="21" s="1"/>
  <c r="H33" i="23"/>
  <c r="L45" i="21"/>
  <c r="O45" i="21" s="1"/>
  <c r="H47" i="21"/>
  <c r="H32" i="23"/>
  <c r="L45" i="20"/>
  <c r="P38" i="29"/>
  <c r="T46" i="29"/>
  <c r="R46" i="29"/>
  <c r="P43" i="29"/>
  <c r="H5" i="33" s="1"/>
  <c r="L37" i="12"/>
  <c r="H47" i="12"/>
  <c r="P50" i="29"/>
  <c r="J7" i="33" s="1"/>
  <c r="L42" i="12"/>
  <c r="H31" i="23"/>
  <c r="L45" i="12"/>
  <c r="P39" i="29"/>
  <c r="P45" i="29"/>
  <c r="H9" i="33" s="1"/>
  <c r="L39" i="12"/>
  <c r="R52" i="29"/>
  <c r="P49" i="29"/>
  <c r="J5" i="33" s="1"/>
  <c r="L41" i="12"/>
  <c r="P51" i="29"/>
  <c r="J9" i="33" s="1"/>
  <c r="L43" i="12"/>
  <c r="L38" i="12"/>
  <c r="P44" i="29"/>
  <c r="H7" i="33" s="1"/>
  <c r="J35" i="21"/>
  <c r="N39" i="21" s="1"/>
  <c r="H13" i="21"/>
  <c r="J47" i="21"/>
  <c r="L26" i="21"/>
  <c r="L30" i="21" s="1"/>
  <c r="L35" i="21"/>
  <c r="N49" i="29"/>
  <c r="N50" i="29"/>
  <c r="J47" i="20"/>
  <c r="L26" i="20"/>
  <c r="L30" i="20" s="1"/>
  <c r="L35" i="20"/>
  <c r="L58" i="20" s="1"/>
  <c r="J35" i="20"/>
  <c r="H13" i="20"/>
  <c r="N51" i="29"/>
  <c r="N38" i="29"/>
  <c r="J38" i="20"/>
  <c r="N38" i="20" s="1"/>
  <c r="H115" i="20" s="1"/>
  <c r="L7" i="22" s="1"/>
  <c r="L52" i="29"/>
  <c r="N40" i="29"/>
  <c r="N54" i="29"/>
  <c r="N39" i="29"/>
  <c r="H46" i="29"/>
  <c r="H52" i="29"/>
  <c r="N44" i="29"/>
  <c r="N45" i="29"/>
  <c r="L46" i="29"/>
  <c r="J52" i="29"/>
  <c r="N43" i="29"/>
  <c r="J46" i="29"/>
  <c r="J76" i="21" l="1"/>
  <c r="J78" i="21" s="1"/>
  <c r="N78" i="21" s="1"/>
  <c r="J88" i="21" s="1"/>
  <c r="L58" i="21"/>
  <c r="H19" i="33"/>
  <c r="J19" i="33"/>
  <c r="O9" i="33"/>
  <c r="R16" i="22"/>
  <c r="H124" i="21"/>
  <c r="L47" i="21"/>
  <c r="H119" i="21" s="1"/>
  <c r="P11" i="22" s="1"/>
  <c r="J61" i="21"/>
  <c r="J65" i="21"/>
  <c r="J63" i="21"/>
  <c r="L47" i="20"/>
  <c r="H119" i="20" s="1"/>
  <c r="J65" i="20"/>
  <c r="J61" i="20"/>
  <c r="J63" i="20"/>
  <c r="P52" i="29"/>
  <c r="X50" i="29"/>
  <c r="R15" i="22"/>
  <c r="H116" i="21"/>
  <c r="P8" i="22"/>
  <c r="J129" i="21"/>
  <c r="R21" i="22"/>
  <c r="X38" i="29"/>
  <c r="X40" i="29"/>
  <c r="O45" i="20"/>
  <c r="X45" i="29"/>
  <c r="X39" i="29"/>
  <c r="X51" i="29"/>
  <c r="X43" i="29"/>
  <c r="X49" i="29"/>
  <c r="X44" i="29"/>
  <c r="P54" i="29"/>
  <c r="X54" i="29" s="1"/>
  <c r="P46" i="29"/>
  <c r="J76" i="20"/>
  <c r="J78" i="20" s="1"/>
  <c r="N78" i="20" s="1"/>
  <c r="N39" i="20"/>
  <c r="J123" i="20"/>
  <c r="J124" i="20"/>
  <c r="J43" i="20"/>
  <c r="O43" i="20" s="1"/>
  <c r="M17" i="20"/>
  <c r="J37" i="20"/>
  <c r="N37" i="20" s="1"/>
  <c r="H114" i="20" s="1"/>
  <c r="L17" i="20"/>
  <c r="N52" i="29"/>
  <c r="N46" i="29"/>
  <c r="L88" i="20" l="1"/>
  <c r="H88" i="20" s="1"/>
  <c r="J88" i="20"/>
  <c r="L11" i="22"/>
  <c r="X52" i="29"/>
  <c r="L6" i="22"/>
  <c r="L65" i="21"/>
  <c r="O65" i="21" s="1"/>
  <c r="L61" i="21"/>
  <c r="N61" i="21" s="1"/>
  <c r="L63" i="21"/>
  <c r="O63" i="21" s="1"/>
  <c r="L61" i="20"/>
  <c r="N61" i="20" s="1"/>
  <c r="L65" i="20"/>
  <c r="O65" i="20" s="1"/>
  <c r="L63" i="20"/>
  <c r="O63" i="20" s="1"/>
  <c r="H125" i="20"/>
  <c r="N17" i="22"/>
  <c r="H116" i="20"/>
  <c r="L8" i="22"/>
  <c r="J129" i="20"/>
  <c r="N21" i="22"/>
  <c r="X46" i="29"/>
  <c r="L88" i="21"/>
  <c r="O67" i="21" l="1"/>
  <c r="O67" i="20"/>
  <c r="H88" i="21"/>
  <c r="N67" i="21"/>
  <c r="N67" i="20"/>
  <c r="N72" i="21" l="1"/>
  <c r="O69" i="21"/>
  <c r="L86" i="21" s="1"/>
  <c r="O72" i="20"/>
  <c r="N69" i="20"/>
  <c r="M11" i="12"/>
  <c r="J86" i="21" l="1"/>
  <c r="L90" i="21"/>
  <c r="H120" i="21" s="1"/>
  <c r="P12" i="22" s="1"/>
  <c r="O72" i="21"/>
  <c r="L86" i="20"/>
  <c r="L90" i="20" s="1"/>
  <c r="H120" i="20" s="1"/>
  <c r="L12" i="22" s="1"/>
  <c r="J86" i="20"/>
  <c r="N72" i="20"/>
  <c r="H63" i="12"/>
  <c r="J47" i="12"/>
  <c r="L47" i="12" s="1"/>
  <c r="J38" i="12"/>
  <c r="J37" i="12"/>
  <c r="H13" i="12"/>
  <c r="L11" i="12"/>
  <c r="H61" i="12" s="1"/>
  <c r="H86" i="21" l="1"/>
  <c r="H90" i="21" s="1"/>
  <c r="J90" i="21"/>
  <c r="H21" i="28" s="1"/>
  <c r="J90" i="20"/>
  <c r="H86" i="20"/>
  <c r="H90" i="20" s="1"/>
  <c r="H20" i="27" l="1"/>
  <c r="H117" i="21"/>
  <c r="J126" i="21"/>
  <c r="J126" i="20"/>
  <c r="H117" i="20"/>
  <c r="P19" i="28" l="1"/>
  <c r="I40" i="28" s="1"/>
  <c r="J40" i="28" s="1"/>
  <c r="E6" i="31" s="1"/>
  <c r="S19" i="28"/>
  <c r="I43" i="28" s="1"/>
  <c r="J43" i="28" s="1"/>
  <c r="E9" i="31" s="1"/>
  <c r="R19" i="28"/>
  <c r="I42" i="28" s="1"/>
  <c r="J42" i="28" s="1"/>
  <c r="E8" i="31" s="1"/>
  <c r="Q19" i="28"/>
  <c r="I41" i="28" s="1"/>
  <c r="J41" i="28" s="1"/>
  <c r="E7" i="31" s="1"/>
  <c r="S33" i="28"/>
  <c r="N43" i="28" s="1"/>
  <c r="O43" i="28" s="1"/>
  <c r="J9" i="31" s="1"/>
  <c r="Q33" i="28"/>
  <c r="N41" i="28" s="1"/>
  <c r="O41" i="28" s="1"/>
  <c r="J7" i="31" s="1"/>
  <c r="R33" i="28"/>
  <c r="N42" i="28" s="1"/>
  <c r="O42" i="28" s="1"/>
  <c r="J8" i="31" s="1"/>
  <c r="P33" i="28"/>
  <c r="N40" i="28" s="1"/>
  <c r="R18" i="27"/>
  <c r="I41" i="27" s="1"/>
  <c r="J41" i="27" s="1"/>
  <c r="D8" i="31" s="1"/>
  <c r="P18" i="27"/>
  <c r="I39" i="27" s="1"/>
  <c r="J39" i="27" s="1"/>
  <c r="D6" i="31" s="1"/>
  <c r="S18" i="27"/>
  <c r="I42" i="27" s="1"/>
  <c r="J42" i="27" s="1"/>
  <c r="Q18" i="27"/>
  <c r="I40" i="27" s="1"/>
  <c r="J40" i="27" s="1"/>
  <c r="D7" i="31" s="1"/>
  <c r="S32" i="27"/>
  <c r="N42" i="27" s="1"/>
  <c r="O42" i="27" s="1"/>
  <c r="I9" i="31" s="1"/>
  <c r="P32" i="27"/>
  <c r="N39" i="27" s="1"/>
  <c r="Q32" i="27"/>
  <c r="N40" i="27" s="1"/>
  <c r="O40" i="27" s="1"/>
  <c r="I7" i="31" s="1"/>
  <c r="R32" i="27"/>
  <c r="N41" i="27" s="1"/>
  <c r="O41" i="27" s="1"/>
  <c r="I8" i="31" s="1"/>
  <c r="N34" i="26"/>
  <c r="N18" i="22"/>
  <c r="J133" i="20"/>
  <c r="J133" i="21"/>
  <c r="R18" i="22"/>
  <c r="L9" i="22"/>
  <c r="H133" i="20"/>
  <c r="H133" i="21"/>
  <c r="P9" i="22"/>
  <c r="P27" i="22" s="1"/>
  <c r="R24" i="22"/>
  <c r="T33" i="28" l="1"/>
  <c r="N44" i="28" s="1"/>
  <c r="O44" i="28" s="1"/>
  <c r="J10" i="31" s="1"/>
  <c r="T19" i="28"/>
  <c r="I44" i="28" s="1"/>
  <c r="T32" i="27"/>
  <c r="N43" i="27" s="1"/>
  <c r="O43" i="27" s="1"/>
  <c r="I10" i="31" s="1"/>
  <c r="T18" i="27"/>
  <c r="I43" i="27" s="1"/>
  <c r="J43" i="27" s="1"/>
  <c r="D10" i="31" s="1"/>
  <c r="O40" i="28"/>
  <c r="U15" i="27"/>
  <c r="O39" i="27"/>
  <c r="R27" i="22"/>
  <c r="J135" i="20"/>
  <c r="J135" i="21"/>
  <c r="D9" i="31"/>
  <c r="U33" i="28" l="1"/>
  <c r="U32" i="27"/>
  <c r="U18" i="27"/>
  <c r="I45" i="27"/>
  <c r="J45" i="27"/>
  <c r="D12" i="31" s="1"/>
  <c r="O46" i="28"/>
  <c r="J12" i="31" s="1"/>
  <c r="J6" i="31"/>
  <c r="U19" i="28"/>
  <c r="U15" i="28"/>
  <c r="N46" i="28"/>
  <c r="N54" i="26" s="1"/>
  <c r="U30" i="28"/>
  <c r="N45" i="27"/>
  <c r="I6" i="31"/>
  <c r="O45" i="27"/>
  <c r="I12" i="31" s="1"/>
  <c r="U29" i="27"/>
  <c r="H45" i="23"/>
  <c r="I53" i="26" l="1"/>
  <c r="N53" i="26"/>
  <c r="H48" i="23"/>
  <c r="J44" i="28" l="1"/>
  <c r="I46" i="28"/>
  <c r="I54" i="26" s="1"/>
  <c r="L20" i="22"/>
  <c r="J12" i="22"/>
  <c r="V12" i="22" s="1"/>
  <c r="H10" i="32" s="1"/>
  <c r="J13" i="22"/>
  <c r="H13" i="22"/>
  <c r="T13" i="22" s="1"/>
  <c r="H15" i="22"/>
  <c r="T15" i="22" s="1"/>
  <c r="F13" i="32" s="1"/>
  <c r="J7" i="22"/>
  <c r="J11" i="22"/>
  <c r="V11" i="22" s="1"/>
  <c r="H9" i="32" s="1"/>
  <c r="J6" i="22"/>
  <c r="E10" i="31" l="1"/>
  <c r="J46" i="28"/>
  <c r="E12" i="31" s="1"/>
  <c r="F11" i="32"/>
  <c r="AA13" i="22"/>
  <c r="T20" i="22"/>
  <c r="F18" i="32" s="1"/>
  <c r="L27" i="22"/>
  <c r="V13" i="22"/>
  <c r="H11" i="32" s="1"/>
  <c r="V6" i="22"/>
  <c r="H4" i="32" s="1"/>
  <c r="V7" i="22"/>
  <c r="H5" i="32" s="1"/>
  <c r="L78" i="12" l="1"/>
  <c r="J35" i="12" l="1"/>
  <c r="J58" i="12"/>
  <c r="J61" i="12" l="1"/>
  <c r="J63" i="12"/>
  <c r="O42" i="12"/>
  <c r="O41" i="12"/>
  <c r="N39" i="12"/>
  <c r="H8" i="22" s="1"/>
  <c r="T8" i="22" s="1"/>
  <c r="R29" i="22"/>
  <c r="J128" i="12"/>
  <c r="J20" i="22" s="1"/>
  <c r="V20" i="22" s="1"/>
  <c r="J16" i="22" l="1"/>
  <c r="V16" i="22" s="1"/>
  <c r="Y16" i="22" s="1"/>
  <c r="J124" i="12"/>
  <c r="H18" i="32"/>
  <c r="X20" i="22"/>
  <c r="F6" i="32"/>
  <c r="X8" i="22"/>
  <c r="J123" i="12"/>
  <c r="J15" i="22"/>
  <c r="H116" i="12"/>
  <c r="N27" i="22"/>
  <c r="H14" i="32" l="1"/>
  <c r="V15" i="22"/>
  <c r="N29" i="22"/>
  <c r="H13" i="32" l="1"/>
  <c r="Y15" i="22"/>
  <c r="H65" i="12"/>
  <c r="J65" i="12" l="1"/>
  <c r="L35" i="12"/>
  <c r="N38" i="12" l="1"/>
  <c r="H115" i="12" s="1"/>
  <c r="H7" i="22" s="1"/>
  <c r="T7" i="22" s="1"/>
  <c r="N37" i="12"/>
  <c r="H114" i="12" s="1"/>
  <c r="H6" i="22" s="1"/>
  <c r="O43" i="12"/>
  <c r="J76" i="12"/>
  <c r="J78" i="12" s="1"/>
  <c r="L58" i="12"/>
  <c r="L30" i="12"/>
  <c r="F5" i="32" l="1"/>
  <c r="X7" i="22"/>
  <c r="L63" i="12"/>
  <c r="O63" i="12" s="1"/>
  <c r="L61" i="12"/>
  <c r="N61" i="12" s="1"/>
  <c r="L65" i="12"/>
  <c r="T6" i="22"/>
  <c r="H125" i="12"/>
  <c r="J17" i="22"/>
  <c r="H34" i="23"/>
  <c r="H37" i="23" s="1"/>
  <c r="H50" i="23" s="1"/>
  <c r="N78" i="12"/>
  <c r="J88" i="12" s="1"/>
  <c r="O45" i="12"/>
  <c r="J21" i="22" s="1"/>
  <c r="V21" i="22" s="1"/>
  <c r="F4" i="32" l="1"/>
  <c r="X6" i="22"/>
  <c r="H19" i="32"/>
  <c r="Z21" i="22"/>
  <c r="Z27" i="22" s="1"/>
  <c r="V17" i="22"/>
  <c r="H21" i="22"/>
  <c r="T21" i="22" s="1"/>
  <c r="F19" i="32" s="1"/>
  <c r="J129" i="12"/>
  <c r="L88" i="12"/>
  <c r="H88" i="12" s="1"/>
  <c r="H119" i="12"/>
  <c r="H11" i="22" s="1"/>
  <c r="T11" i="22" s="1"/>
  <c r="O65" i="12"/>
  <c r="Z28" i="22" l="1"/>
  <c r="AA33" i="22"/>
  <c r="AA40" i="22" s="1"/>
  <c r="Z33" i="22"/>
  <c r="Z40" i="22" s="1"/>
  <c r="H15" i="32"/>
  <c r="Y17" i="22"/>
  <c r="F9" i="32"/>
  <c r="AA11" i="22"/>
  <c r="U25" i="26" l="1"/>
  <c r="H130" i="12"/>
  <c r="N67" i="12"/>
  <c r="O67" i="12"/>
  <c r="J131" i="12" l="1"/>
  <c r="H23" i="22"/>
  <c r="J24" i="22" s="1"/>
  <c r="N69" i="12"/>
  <c r="O72" i="12"/>
  <c r="L86" i="12" l="1"/>
  <c r="J86" i="12"/>
  <c r="N72" i="12"/>
  <c r="H86" i="12" l="1"/>
  <c r="H90" i="12" s="1"/>
  <c r="J90" i="12"/>
  <c r="H21" i="26" s="1"/>
  <c r="L90" i="12"/>
  <c r="H120" i="12" s="1"/>
  <c r="H12" i="22" s="1"/>
  <c r="T12" i="22" s="1"/>
  <c r="F10" i="32" l="1"/>
  <c r="AA12" i="22"/>
  <c r="J126" i="12"/>
  <c r="J133" i="12" s="1"/>
  <c r="H117" i="12"/>
  <c r="S19" i="26" l="1"/>
  <c r="I44" i="26" s="1"/>
  <c r="P19" i="26"/>
  <c r="I41" i="26" s="1"/>
  <c r="R19" i="26"/>
  <c r="I43" i="26" s="1"/>
  <c r="Q19" i="26"/>
  <c r="I42" i="26" s="1"/>
  <c r="S34" i="26"/>
  <c r="N44" i="26" s="1"/>
  <c r="P34" i="26"/>
  <c r="N41" i="26" s="1"/>
  <c r="R34" i="26"/>
  <c r="N43" i="26" s="1"/>
  <c r="Q34" i="26"/>
  <c r="N42" i="26" s="1"/>
  <c r="H9" i="22"/>
  <c r="H27" i="22" s="1"/>
  <c r="H133" i="12"/>
  <c r="J18" i="22"/>
  <c r="O34" i="26" l="1"/>
  <c r="T34" i="26"/>
  <c r="N45" i="26" s="1"/>
  <c r="T19" i="26"/>
  <c r="I45" i="26" s="1"/>
  <c r="T9" i="22"/>
  <c r="V18" i="22"/>
  <c r="J135" i="12"/>
  <c r="O45" i="26" l="1"/>
  <c r="H10" i="31" s="1"/>
  <c r="K10" i="31" s="1"/>
  <c r="U34" i="26"/>
  <c r="U30" i="26"/>
  <c r="U19" i="26"/>
  <c r="H16" i="32"/>
  <c r="Y18" i="22"/>
  <c r="F7" i="32"/>
  <c r="X9" i="22"/>
  <c r="X27" i="22" s="1"/>
  <c r="X28" i="22" s="1"/>
  <c r="O41" i="26"/>
  <c r="H6" i="31" s="1"/>
  <c r="K6" i="31" s="1"/>
  <c r="J43" i="26"/>
  <c r="C8" i="31" s="1"/>
  <c r="F8" i="31" s="1"/>
  <c r="O43" i="26"/>
  <c r="H8" i="31" s="1"/>
  <c r="K8" i="31" s="1"/>
  <c r="J42" i="26"/>
  <c r="C7" i="31" s="1"/>
  <c r="F7" i="31" s="1"/>
  <c r="O42" i="26"/>
  <c r="H7" i="31" s="1"/>
  <c r="K7" i="31" s="1"/>
  <c r="T23" i="22"/>
  <c r="O44" i="26"/>
  <c r="H9" i="31" s="1"/>
  <c r="K9" i="31" s="1"/>
  <c r="M8" i="31" l="1"/>
  <c r="O8" i="31" s="1"/>
  <c r="M7" i="31"/>
  <c r="O7" i="31" s="1"/>
  <c r="J45" i="26"/>
  <c r="C10" i="31" s="1"/>
  <c r="F10" i="31" s="1"/>
  <c r="M10" i="31" s="1"/>
  <c r="Y23" i="22"/>
  <c r="Y27" i="22" s="1"/>
  <c r="Y28" i="22" s="1"/>
  <c r="Z31" i="22"/>
  <c r="AA31" i="22"/>
  <c r="AA38" i="22" s="1"/>
  <c r="T27" i="22"/>
  <c r="F21" i="32"/>
  <c r="F25" i="32" s="1"/>
  <c r="J41" i="26"/>
  <c r="N47" i="26"/>
  <c r="N52" i="26" s="1"/>
  <c r="N56" i="26" s="1"/>
  <c r="J44" i="26"/>
  <c r="C9" i="31" s="1"/>
  <c r="F9" i="31" s="1"/>
  <c r="M9" i="31" s="1"/>
  <c r="O9" i="31" s="1"/>
  <c r="O47" i="26"/>
  <c r="H12" i="31" s="1"/>
  <c r="K14" i="31" s="1"/>
  <c r="V24" i="22"/>
  <c r="J27" i="22"/>
  <c r="J29" i="22" s="1"/>
  <c r="AA24" i="22" l="1"/>
  <c r="AA27" i="22" s="1"/>
  <c r="Z34" i="22" s="1"/>
  <c r="AA32" i="22"/>
  <c r="AA39" i="22" s="1"/>
  <c r="Z32" i="22"/>
  <c r="Z39" i="22" s="1"/>
  <c r="Z38" i="22"/>
  <c r="J12" i="33"/>
  <c r="J17" i="33" s="1"/>
  <c r="H22" i="32"/>
  <c r="H25" i="32" s="1"/>
  <c r="K12" i="31"/>
  <c r="C6" i="31"/>
  <c r="F6" i="31" s="1"/>
  <c r="M6" i="31" s="1"/>
  <c r="J47" i="26"/>
  <c r="C12" i="31" s="1"/>
  <c r="I47" i="26"/>
  <c r="I52" i="26" s="1"/>
  <c r="I56" i="26" s="1"/>
  <c r="H12" i="33" s="1"/>
  <c r="H17" i="33" s="1"/>
  <c r="V27" i="22"/>
  <c r="V29" i="22" s="1"/>
  <c r="M12" i="31" l="1"/>
  <c r="O6" i="31"/>
  <c r="J20" i="33"/>
  <c r="H20" i="33"/>
  <c r="J25" i="33" s="1"/>
  <c r="Z42" i="22"/>
  <c r="Z45" i="22"/>
  <c r="Z43" i="22"/>
  <c r="Z47" i="22"/>
  <c r="Z44" i="22"/>
  <c r="Z46" i="22"/>
  <c r="AA28" i="22"/>
  <c r="Z41" i="22" s="1"/>
  <c r="AA34" i="22"/>
  <c r="Z35" i="22"/>
  <c r="F14" i="31"/>
  <c r="M14" i="31" s="1"/>
  <c r="J29" i="33" s="1"/>
  <c r="F12" i="31"/>
  <c r="Z49" i="22" l="1"/>
  <c r="J26" i="33"/>
  <c r="J28" i="33" s="1"/>
  <c r="J30" i="33" s="1"/>
  <c r="N10" i="31" s="1"/>
  <c r="AA35" i="22"/>
  <c r="AA36" i="22" s="1"/>
  <c r="AA42" i="22"/>
  <c r="AA43" i="22"/>
  <c r="AA44" i="22"/>
  <c r="AA45" i="22"/>
  <c r="AA46" i="22"/>
  <c r="AA47" i="22"/>
  <c r="AA41" i="22"/>
  <c r="N12" i="31" l="1"/>
  <c r="O10" i="31"/>
  <c r="O12" i="31" s="1"/>
  <c r="AA49" i="22"/>
  <c r="AA50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</authors>
  <commentList>
    <comment ref="H10" authorId="0" shapeId="0" xr:uid="{E27DF9FA-3F7A-4812-A485-521F7C842A72}">
      <text>
        <r>
          <rPr>
            <sz val="9"/>
            <color indexed="81"/>
            <rFont val="Tahoma"/>
            <family val="2"/>
          </rPr>
          <t xml:space="preserve">Cell J90 from 2019 GASB 68 Regular Spreadsheet, if positive.
</t>
        </r>
      </text>
    </comment>
    <comment ref="H11" authorId="0" shapeId="0" xr:uid="{5EB85C3C-6A58-4737-9A6C-44486F62B3E1}">
      <text>
        <r>
          <rPr>
            <sz val="9"/>
            <color indexed="81"/>
            <rFont val="Tahoma"/>
            <family val="2"/>
          </rPr>
          <t xml:space="preserve">Cell J90 from 2020 GASB 68 Regular Spreadsheet, if positive.
</t>
        </r>
      </text>
    </comment>
    <comment ref="H12" authorId="0" shapeId="0" xr:uid="{EA56CBB0-7E2D-434D-990C-E21CE535435C}">
      <text>
        <r>
          <rPr>
            <sz val="9"/>
            <color indexed="81"/>
            <rFont val="Tahoma"/>
            <family val="2"/>
          </rPr>
          <t xml:space="preserve">Cell J90 from 2021 GASB 68 Regular Spreadsheet, if positive.
</t>
        </r>
      </text>
    </comment>
    <comment ref="H13" authorId="0" shapeId="0" xr:uid="{C259ECCC-0F5F-4BED-9719-A442D1AFFC8A}">
      <text>
        <r>
          <rPr>
            <sz val="9"/>
            <color indexed="81"/>
            <rFont val="Tahoma"/>
            <family val="2"/>
          </rPr>
          <t xml:space="preserve">Cell J90 from 2022 GASB 68 Regular Spreadsheet, if positive.
</t>
        </r>
      </text>
    </comment>
    <comment ref="H14" authorId="0" shapeId="0" xr:uid="{28364A59-C7BF-44DE-97F5-06928986A846}">
      <text>
        <r>
          <rPr>
            <sz val="9"/>
            <color indexed="81"/>
            <rFont val="Tahoma"/>
            <family val="2"/>
          </rPr>
          <t xml:space="preserve">Cell J90 from 2023 GASB 68 Regular Spreadsheet, if positive.
</t>
        </r>
      </text>
    </comment>
    <comment ref="H15" authorId="0" shapeId="0" xr:uid="{46C65FA6-9E07-46D9-A1B0-359C72CDAD3C}">
      <text>
        <r>
          <rPr>
            <sz val="9"/>
            <color indexed="81"/>
            <rFont val="Tahoma"/>
            <family val="2"/>
          </rPr>
          <t xml:space="preserve">Cell J90 from 2024 GASB 68 Regular Spreadsheet, if positive.
</t>
        </r>
      </text>
    </comment>
    <comment ref="H25" authorId="0" shapeId="0" xr:uid="{8023AADB-9185-470B-BB40-5DABEB5294EA}">
      <text>
        <r>
          <rPr>
            <sz val="9"/>
            <color indexed="81"/>
            <rFont val="Tahoma"/>
            <family val="2"/>
          </rPr>
          <t xml:space="preserve">Cell J-90 from 2019 GASB 68 Regular Spreadsheet, if negative, enter as negative.
</t>
        </r>
      </text>
    </comment>
    <comment ref="H26" authorId="0" shapeId="0" xr:uid="{485B7756-3BA9-4D41-9325-02C01230E1D7}">
      <text>
        <r>
          <rPr>
            <sz val="9"/>
            <color indexed="81"/>
            <rFont val="Tahoma"/>
            <family val="2"/>
          </rPr>
          <t xml:space="preserve">Cell J-90 from 2020 GASB 68 Regular Spreadsheet, if negative, enter as negative.
</t>
        </r>
      </text>
    </comment>
    <comment ref="H27" authorId="0" shapeId="0" xr:uid="{D4017001-8491-45DD-9BB2-E99477BFBE93}">
      <text>
        <r>
          <rPr>
            <sz val="9"/>
            <color indexed="81"/>
            <rFont val="Tahoma"/>
            <family val="2"/>
          </rPr>
          <t xml:space="preserve">Cell J-90 from 2021 GASB 68 Regular Spreadsheet, if negative, enter as negative.
</t>
        </r>
      </text>
    </comment>
    <comment ref="H28" authorId="0" shapeId="0" xr:uid="{85CFE141-C119-4015-A9A0-DFD847675A4C}">
      <text>
        <r>
          <rPr>
            <sz val="9"/>
            <color indexed="81"/>
            <rFont val="Tahoma"/>
            <family val="2"/>
          </rPr>
          <t xml:space="preserve">Cell J-90 from 2022 GASB 68 Regular Spreadsheet, if negative, enter as negative.
</t>
        </r>
      </text>
    </comment>
    <comment ref="H29" authorId="0" shapeId="0" xr:uid="{B5B83812-B02B-425C-91BF-D3A4935D4DF6}">
      <text>
        <r>
          <rPr>
            <sz val="9"/>
            <color indexed="81"/>
            <rFont val="Tahoma"/>
            <family val="2"/>
          </rPr>
          <t xml:space="preserve">Cell J-90 from 2023 GASB 68 Regular Spreadsheet, if negative, enter as negative.
</t>
        </r>
      </text>
    </comment>
    <comment ref="H30" authorId="0" shapeId="0" xr:uid="{E1BEA1B1-1BBE-4E48-B331-F145F34E942E}">
      <text>
        <r>
          <rPr>
            <sz val="9"/>
            <color indexed="81"/>
            <rFont val="Tahoma"/>
            <family val="2"/>
          </rPr>
          <t xml:space="preserve">Cell J-90 from 2024 GASB 68 Regular Spreadsheet, if negative, enter as negative.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</authors>
  <commentList>
    <comment ref="H10" authorId="0" shapeId="0" xr:uid="{7D3C29EE-2090-4812-A2C7-0D6EEC611505}">
      <text>
        <r>
          <rPr>
            <sz val="9"/>
            <color indexed="81"/>
            <rFont val="Tahoma"/>
            <family val="2"/>
          </rPr>
          <t xml:space="preserve">Cell J-90 from 2019 GASB 68 S+D Spreadsheet, if positive.
</t>
        </r>
      </text>
    </comment>
    <comment ref="H11" authorId="0" shapeId="0" xr:uid="{39841D12-E2D6-43EE-BF85-A957EA8904B2}">
      <text>
        <r>
          <rPr>
            <sz val="9"/>
            <color indexed="81"/>
            <rFont val="Tahoma"/>
            <family val="2"/>
          </rPr>
          <t xml:space="preserve">Cell J-90 from 2020 GASB 68 S+D Spreadsheet, if positive.
</t>
        </r>
      </text>
    </comment>
    <comment ref="H12" authorId="0" shapeId="0" xr:uid="{6F9E6BDF-2CF9-43CE-BD94-6DBB36A1252F}">
      <text>
        <r>
          <rPr>
            <sz val="9"/>
            <color indexed="81"/>
            <rFont val="Tahoma"/>
            <family val="2"/>
          </rPr>
          <t xml:space="preserve">Cell J-90 from 2021 GASB 68 S+D Spreadsheet, if positive.
</t>
        </r>
      </text>
    </comment>
    <comment ref="H13" authorId="0" shapeId="0" xr:uid="{EAA3BEC5-1FE7-4134-B5D1-28B9030BD488}">
      <text>
        <r>
          <rPr>
            <sz val="9"/>
            <color indexed="81"/>
            <rFont val="Tahoma"/>
            <family val="2"/>
          </rPr>
          <t xml:space="preserve">Cell J-90 from 2022 GASB 68 S+D Spreadsheet, if positive.
</t>
        </r>
      </text>
    </comment>
    <comment ref="H14" authorId="0" shapeId="0" xr:uid="{C08FDED1-EFBD-41F4-A21E-DAE0EDC62055}">
      <text>
        <r>
          <rPr>
            <sz val="9"/>
            <color indexed="81"/>
            <rFont val="Tahoma"/>
            <family val="2"/>
          </rPr>
          <t xml:space="preserve">Cell J-90 from 2023 GASB 68 S+D Spreadsheet, if positive.
</t>
        </r>
      </text>
    </comment>
    <comment ref="H15" authorId="0" shapeId="0" xr:uid="{A9C98F85-5661-41A9-A843-BE2705384F9F}">
      <text>
        <r>
          <rPr>
            <sz val="9"/>
            <color indexed="81"/>
            <rFont val="Tahoma"/>
            <family val="2"/>
          </rPr>
          <t xml:space="preserve">Cell J-90 from 2024 GASB 68 S+D Spreadsheet, if positive.
</t>
        </r>
      </text>
    </comment>
    <comment ref="H24" authorId="0" shapeId="0" xr:uid="{B6264C98-EAE0-4001-A23B-F871C7E72DB4}">
      <text>
        <r>
          <rPr>
            <sz val="9"/>
            <color indexed="81"/>
            <rFont val="Tahoma"/>
            <family val="2"/>
          </rPr>
          <t xml:space="preserve">Cell J-90 from 2019 GASB 68 S+D Spreadsheet, if negative, enter as negative.
</t>
        </r>
      </text>
    </comment>
    <comment ref="H25" authorId="0" shapeId="0" xr:uid="{1F078692-CF3B-43C0-A485-588E0F6A4F77}">
      <text>
        <r>
          <rPr>
            <sz val="9"/>
            <color indexed="81"/>
            <rFont val="Tahoma"/>
            <family val="2"/>
          </rPr>
          <t xml:space="preserve">Cell J-90 from 2020 GASB 68 S+D Spreadsheet, if negative, enter as negative.
</t>
        </r>
      </text>
    </comment>
    <comment ref="H26" authorId="0" shapeId="0" xr:uid="{D6BE7718-E10C-4E35-93CB-14961FB8186E}">
      <text>
        <r>
          <rPr>
            <sz val="9"/>
            <color indexed="81"/>
            <rFont val="Tahoma"/>
            <family val="2"/>
          </rPr>
          <t xml:space="preserve">Cell J-90 from 2021 GASB 68 S+D Spreadsheet, if negative, enter as negative.
</t>
        </r>
      </text>
    </comment>
    <comment ref="H27" authorId="0" shapeId="0" xr:uid="{0F02A062-1D54-4DDB-9ED8-EA47D2293176}">
      <text>
        <r>
          <rPr>
            <sz val="9"/>
            <color indexed="81"/>
            <rFont val="Tahoma"/>
            <family val="2"/>
          </rPr>
          <t xml:space="preserve">Cell J-90 from 2022 GASB 68 S+D Spreadsheet, if negative, enter as negative.
</t>
        </r>
      </text>
    </comment>
    <comment ref="H28" authorId="0" shapeId="0" xr:uid="{83B74167-5A9D-403C-B13B-D8003AE95207}">
      <text>
        <r>
          <rPr>
            <sz val="9"/>
            <color indexed="81"/>
            <rFont val="Tahoma"/>
            <family val="2"/>
          </rPr>
          <t xml:space="preserve">Cell J-90 from 2023 GASB 68 S+D Spreadsheet, if negative, enter as negative.
</t>
        </r>
      </text>
    </comment>
    <comment ref="H29" authorId="0" shapeId="0" xr:uid="{17B9279E-FED8-494F-A154-7650627058C3}">
      <text>
        <r>
          <rPr>
            <sz val="9"/>
            <color indexed="81"/>
            <rFont val="Tahoma"/>
            <family val="2"/>
          </rPr>
          <t xml:space="preserve">Cell J-90 from 2024 GASB 68 S+D Spreadsheet, if negative, enter as negative.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ANielsen</author>
  </authors>
  <commentList>
    <comment ref="H10" authorId="0" shapeId="0" xr:uid="{FE3A18C5-00CC-4B53-9886-AE8DDA9CFFBE}">
      <text>
        <r>
          <rPr>
            <sz val="9"/>
            <color indexed="81"/>
            <rFont val="Tahoma"/>
            <family val="2"/>
          </rPr>
          <t xml:space="preserve">Cell J-90 from 2018 GASB 68 Pro Occ Spreadsheet, if positive.
</t>
        </r>
      </text>
    </comment>
    <comment ref="H11" authorId="0" shapeId="0" xr:uid="{61C943C3-7B51-4CE8-AE9F-15B2B4A27AA8}">
      <text>
        <r>
          <rPr>
            <sz val="9"/>
            <color indexed="81"/>
            <rFont val="Tahoma"/>
            <family val="2"/>
          </rPr>
          <t xml:space="preserve">Cell J-90 from 2019 GASB 68 Pro Occ Spreadsheet, if positive.
</t>
        </r>
      </text>
    </comment>
    <comment ref="H12" authorId="0" shapeId="0" xr:uid="{94D6F49C-36D4-4284-8686-6E5059833D38}">
      <text>
        <r>
          <rPr>
            <sz val="9"/>
            <color indexed="81"/>
            <rFont val="Tahoma"/>
            <family val="2"/>
          </rPr>
          <t xml:space="preserve">Cell J-90 from 2020 GASB 68 Pro Occ Spreadsheet, if positive.
</t>
        </r>
      </text>
    </comment>
    <comment ref="H13" authorId="0" shapeId="0" xr:uid="{851EB4E5-B59C-4C03-BF0B-AC21EA91240C}">
      <text>
        <r>
          <rPr>
            <sz val="9"/>
            <color indexed="81"/>
            <rFont val="Tahoma"/>
            <family val="2"/>
          </rPr>
          <t xml:space="preserve">Cell J-90 from 2021 GASB 68 Pro Occ Spreadsheet, if positive.
</t>
        </r>
      </text>
    </comment>
    <comment ref="H14" authorId="0" shapeId="0" xr:uid="{1F52FCB3-5B8F-47AD-B485-40CB58831A0E}">
      <text>
        <r>
          <rPr>
            <sz val="9"/>
            <color indexed="81"/>
            <rFont val="Tahoma"/>
            <family val="2"/>
          </rPr>
          <t xml:space="preserve">Cell J-90 from 2022 GASB 68 Pro Occ Spreadsheet, if positive.
</t>
        </r>
      </text>
    </comment>
    <comment ref="H15" authorId="0" shapeId="0" xr:uid="{AEF8BF9B-BDB5-4059-A423-2B7DA54C7996}">
      <text>
        <r>
          <rPr>
            <sz val="9"/>
            <color indexed="81"/>
            <rFont val="Tahoma"/>
            <family val="2"/>
          </rPr>
          <t xml:space="preserve">Cell J-90 from 2024 GASB 68 Pro Occ Spreadsheet, if positive.
</t>
        </r>
      </text>
    </comment>
    <comment ref="H25" authorId="0" shapeId="0" xr:uid="{318F1E32-4AB6-4C94-A6E2-916DCFA2D974}">
      <text>
        <r>
          <rPr>
            <sz val="9"/>
            <color indexed="81"/>
            <rFont val="Tahoma"/>
            <family val="2"/>
          </rPr>
          <t>Cell J-90 from 2019 
GASB 68 Pro occ Spreadsheet, if negative enter as negative number</t>
        </r>
      </text>
    </comment>
    <comment ref="H26" authorId="0" shapeId="0" xr:uid="{EE3F89E5-994F-492E-956F-765ED73103D1}">
      <text>
        <r>
          <rPr>
            <sz val="9"/>
            <color indexed="81"/>
            <rFont val="Tahoma"/>
            <family val="2"/>
          </rPr>
          <t>Cell J-90 from 2020 
GASB 68 Pro occ Spreadsheet, if negative enter as negative number</t>
        </r>
      </text>
    </comment>
    <comment ref="H27" authorId="0" shapeId="0" xr:uid="{C9F5FC7B-CC34-4050-87BB-D26C5F8AA753}">
      <text>
        <r>
          <rPr>
            <sz val="9"/>
            <color indexed="81"/>
            <rFont val="Tahoma"/>
            <family val="2"/>
          </rPr>
          <t>Cell J-90 from 2021 
GASB 68 Pro occ Spreadsheet, if negative enter as negative number</t>
        </r>
      </text>
    </comment>
    <comment ref="H28" authorId="0" shapeId="0" xr:uid="{5C711EEA-3126-4851-8520-A9261086EDCB}">
      <text>
        <r>
          <rPr>
            <sz val="9"/>
            <color indexed="81"/>
            <rFont val="Tahoma"/>
            <family val="2"/>
          </rPr>
          <t>Cell J-90 from 2022 
GASB 68 Pro occ Spreadsheet, if negative enter as negative number</t>
        </r>
      </text>
    </comment>
    <comment ref="H29" authorId="0" shapeId="0" xr:uid="{D351A328-DBA5-4B4C-9781-02D3FDAF8FD2}">
      <text>
        <r>
          <rPr>
            <sz val="9"/>
            <color indexed="81"/>
            <rFont val="Tahoma"/>
            <family val="2"/>
          </rPr>
          <t>Cell J-90 from 2023 
GASB 68 Pro occ Spreadsheet, if negative enter as negative number</t>
        </r>
      </text>
    </comment>
    <comment ref="H30" authorId="0" shapeId="0" xr:uid="{00196E54-A304-44C9-834B-A40F7EEA4A19}">
      <text>
        <r>
          <rPr>
            <sz val="9"/>
            <color indexed="81"/>
            <rFont val="Tahoma"/>
            <family val="2"/>
          </rPr>
          <t>Cell J-90 from 2024 
GASB 68 Pro occ Spreadsheet, if negative enter as negative number</t>
        </r>
      </text>
    </comment>
  </commentList>
</comments>
</file>

<file path=xl/sharedStrings.xml><?xml version="1.0" encoding="utf-8"?>
<sst xmlns="http://schemas.openxmlformats.org/spreadsheetml/2006/main" count="901" uniqueCount="313">
  <si>
    <t>All Membership Groups</t>
  </si>
  <si>
    <t>Regular Group</t>
  </si>
  <si>
    <t>Sheriffs &amp; Dep</t>
  </si>
  <si>
    <t>Prot Occupation</t>
  </si>
  <si>
    <t>Total Pension Liability</t>
  </si>
  <si>
    <t>into the Shaded Boxes in this Tab.</t>
  </si>
  <si>
    <t>Fiduciary Net Position</t>
  </si>
  <si>
    <t>Net Pension Liability</t>
  </si>
  <si>
    <t>FNP as a % of TPL</t>
  </si>
  <si>
    <t>N/A</t>
  </si>
  <si>
    <t>Experience</t>
  </si>
  <si>
    <t>Assumptions</t>
  </si>
  <si>
    <t>Earnings</t>
  </si>
  <si>
    <t>Totals</t>
  </si>
  <si>
    <t>Computed</t>
  </si>
  <si>
    <t>GASB 68</t>
  </si>
  <si>
    <t>Per IPERS GASB REPORT</t>
  </si>
  <si>
    <t xml:space="preserve">Totals for </t>
  </si>
  <si>
    <t>Report</t>
  </si>
  <si>
    <t>Sheriffs &amp;</t>
  </si>
  <si>
    <t>Protection</t>
  </si>
  <si>
    <t>Employer</t>
  </si>
  <si>
    <t>Regular</t>
  </si>
  <si>
    <t>Deputies</t>
  </si>
  <si>
    <t>Occupation</t>
  </si>
  <si>
    <t>Difference</t>
  </si>
  <si>
    <t>(for this employer)</t>
  </si>
  <si>
    <t>*</t>
  </si>
  <si>
    <t>(Total as recognized by Plan)</t>
  </si>
  <si>
    <t>Employer Proportionate Share % (Computed)</t>
  </si>
  <si>
    <t>Employer Proportionate Share % (Per IPERS Spreadsheet)</t>
  </si>
  <si>
    <t>Difference, if any</t>
  </si>
  <si>
    <t>Decrease to 6.00%</t>
  </si>
  <si>
    <t>NPL at 7.00%</t>
  </si>
  <si>
    <t>Increase to 8.00%</t>
  </si>
  <si>
    <t>Change in NPL due to 1% (for this Employer):</t>
  </si>
  <si>
    <t>Deferred Outflows for this Employer:</t>
  </si>
  <si>
    <t xml:space="preserve">     Totals</t>
  </si>
  <si>
    <t>Deferred Inflows for this Employer:</t>
  </si>
  <si>
    <t>Pension Expense for this Employer</t>
  </si>
  <si>
    <t>(Proportionate Share)</t>
  </si>
  <si>
    <t>Average Expected Remaining Service Life:</t>
  </si>
  <si>
    <t>years</t>
  </si>
  <si>
    <t>(page 10 GASB 68)</t>
  </si>
  <si>
    <t>Per totals of Employer Contributions in IPERS Schedules of Employer Allocations and Collective Pension Amounts by Employer Report.</t>
  </si>
  <si>
    <t>Pension Expense</t>
  </si>
  <si>
    <t>Deferred Outflows of Resources</t>
  </si>
  <si>
    <t>Deferred Inflows of Resources</t>
  </si>
  <si>
    <t>Change in NPL due to 1% (for the Plan):</t>
  </si>
  <si>
    <t>Regular Membership Group</t>
  </si>
  <si>
    <t>Shaded Boxes require manual input - everything else is intended to be formula driven</t>
  </si>
  <si>
    <t xml:space="preserve">Deferred </t>
  </si>
  <si>
    <t>Calculation of the Change in Proportion:</t>
  </si>
  <si>
    <t xml:space="preserve">Outflows of </t>
  </si>
  <si>
    <t>Inflows of</t>
  </si>
  <si>
    <t>Resources</t>
  </si>
  <si>
    <t>Experience differences - from IPERS GASB 68 spreadsheet</t>
  </si>
  <si>
    <t>Assumption differences - from IPERS GASB 68 spreadsheet</t>
  </si>
  <si>
    <t>Earnings differences - from IPERS GASB 68 spreadsheet</t>
  </si>
  <si>
    <t xml:space="preserve">    Totals - should agree to IPERS collective amounts</t>
  </si>
  <si>
    <t>( % )</t>
  </si>
  <si>
    <t>(Recomputed)</t>
  </si>
  <si>
    <t>Employer's prior year proportionate share</t>
  </si>
  <si>
    <t xml:space="preserve">    Totals</t>
  </si>
  <si>
    <t>(%)</t>
  </si>
  <si>
    <t>Employer's current year proportionate share</t>
  </si>
  <si>
    <t>Difference between Proportionate Share of Collective</t>
  </si>
  <si>
    <t xml:space="preserve">   contributions and employer's actual contributions:</t>
  </si>
  <si>
    <t>Total employer contributions (as recognized by IPERS)</t>
  </si>
  <si>
    <t>Employer's proportionate share of total employer</t>
  </si>
  <si>
    <t xml:space="preserve">   contributions</t>
  </si>
  <si>
    <t>(Using current year %.)</t>
  </si>
  <si>
    <t>Employer's actual contributions - per IPERS spreadsheet</t>
  </si>
  <si>
    <t>Difference [increase (decrease)in deferred inflows of resources]</t>
  </si>
  <si>
    <t>Proportionate Shares of Collective Balances</t>
  </si>
  <si>
    <t>Proportionate Share @</t>
  </si>
  <si>
    <t>Change in Proportionate Share of</t>
  </si>
  <si>
    <t>Debit Balances</t>
  </si>
  <si>
    <t>Credit Balances</t>
  </si>
  <si>
    <t>Deferred Outflows</t>
  </si>
  <si>
    <t>(a)</t>
  </si>
  <si>
    <t>(b)</t>
  </si>
  <si>
    <t>(b) - (a)</t>
  </si>
  <si>
    <t xml:space="preserve">Experience differences </t>
  </si>
  <si>
    <t xml:space="preserve">Assumption differences </t>
  </si>
  <si>
    <t xml:space="preserve">Earnings differences </t>
  </si>
  <si>
    <t>Deferred Inflows</t>
  </si>
  <si>
    <t>(Per IPERS spreadsheet)</t>
  </si>
  <si>
    <t>Collective Pension Expense</t>
  </si>
  <si>
    <t>X</t>
  </si>
  <si>
    <t>(Collective pension expense)</t>
  </si>
  <si>
    <t>(Proportionate %)</t>
  </si>
  <si>
    <t>Change in Entity's Proportion (2a)</t>
  </si>
  <si>
    <t>(GASB 68 Paragraph 54)</t>
  </si>
  <si>
    <t>Deferred inflows of Resources</t>
  </si>
  <si>
    <t>Total of changes in the Entity's beginning reported balances</t>
  </si>
  <si>
    <t>Amount to be recognized for the net effect of the change</t>
  </si>
  <si>
    <t xml:space="preserve">    in the Entity's proportion on beginning reported balances</t>
  </si>
  <si>
    <t>Total of amounts recognized for the change in Entity's proportion</t>
  </si>
  <si>
    <t>Entity's contributions during the measurement period (2b)</t>
  </si>
  <si>
    <t>Entity</t>
  </si>
  <si>
    <t>(GASB 68 Paragraph 55)</t>
  </si>
  <si>
    <t>Contributions</t>
  </si>
  <si>
    <t>Collective Amount</t>
  </si>
  <si>
    <t xml:space="preserve">Employer contributions </t>
  </si>
  <si>
    <t>Net effect of change in proportion and differences between</t>
  </si>
  <si>
    <t xml:space="preserve">Total Change in </t>
  </si>
  <si>
    <t xml:space="preserve">Pension </t>
  </si>
  <si>
    <t xml:space="preserve">     </t>
  </si>
  <si>
    <t>Entity contributions and proportionate share of contributions (2c)</t>
  </si>
  <si>
    <t>of Resources</t>
  </si>
  <si>
    <t>Proportionate Share</t>
  </si>
  <si>
    <t>Expense</t>
  </si>
  <si>
    <t>(Per GASB 68 Paragraph 52 these may be netted)</t>
  </si>
  <si>
    <t>Change in proportion (from (2a) above)</t>
  </si>
  <si>
    <t>Contributions during measurement period (from 2b) above</t>
  </si>
  <si>
    <t>Net amount recognized</t>
  </si>
  <si>
    <t>[X-(X/H90)]</t>
  </si>
  <si>
    <t>(X/H90)</t>
  </si>
  <si>
    <t>Average expected remaining service life for all System members:</t>
  </si>
  <si>
    <t>DR</t>
  </si>
  <si>
    <t>CR</t>
  </si>
  <si>
    <t>Difference Between Expected and Actual Experience</t>
  </si>
  <si>
    <t>Changes in Assumptions</t>
  </si>
  <si>
    <t>Differences between Projected and Actual Investment earnings</t>
  </si>
  <si>
    <t>Net</t>
  </si>
  <si>
    <t>Deferred Outflows of Resources  from proportion change</t>
  </si>
  <si>
    <t>Pension Expense - amortization of proportion change</t>
  </si>
  <si>
    <t>Pension Expense - rounding</t>
  </si>
  <si>
    <t>Differences Between Expected and Actual Experience</t>
  </si>
  <si>
    <t>Change in Assumptions</t>
  </si>
  <si>
    <t>Difference between Projected and Actual Investment earnings</t>
  </si>
  <si>
    <t>Deferred Inflows of Resources  from proportion change</t>
  </si>
  <si>
    <t xml:space="preserve">Deferred Outflows of Resources </t>
  </si>
  <si>
    <t>Additional entry maybe necessary if amount is different from prior workpapers.</t>
  </si>
  <si>
    <t>Net Pension Liability (1)</t>
  </si>
  <si>
    <t>Deferred Inflows(dr)/Outflow(cr) of Resources - from Proportionate Change (par. #52 amort.)</t>
  </si>
  <si>
    <t>If the amount (total of O11, O12, O13, O14 &amp; O15) on the amortization form for last year is a deferred outflow, the amount entered here is credit to deferred outflows and debit to pension expense.  If the amount (total of O24, O25, O26, O27 &amp; O28) on the amortization form for prior years is a deferred inflow, the amount is a debit to deferred inflows and credit to pension expense.</t>
  </si>
  <si>
    <t>Pension expense (1)</t>
  </si>
  <si>
    <t>Check figure</t>
  </si>
  <si>
    <t xml:space="preserve">Amortization Schedule of the Net Change in the Proportion and Contributions </t>
  </si>
  <si>
    <t>(GASB 68 paragraphs 54 &amp; 55)</t>
  </si>
  <si>
    <t>(Per GASB 68 paragraph 52 the change in proportion and contributions may be netted for the year)</t>
  </si>
  <si>
    <t>Amount to be Amortized in:</t>
  </si>
  <si>
    <t>Positive amounts Total Change in Proportonate Share - See Comments in Column H</t>
  </si>
  <si>
    <t>Year of Deferral</t>
  </si>
  <si>
    <t>Amortization Period in years</t>
  </si>
  <si>
    <t>Amount of Deferral</t>
  </si>
  <si>
    <t>Deferred outflows of resources:</t>
  </si>
  <si>
    <t>Total amortization of outflows</t>
  </si>
  <si>
    <t>Negative amounts Total Change in Proportonate Share-See Comments in Column H</t>
  </si>
  <si>
    <t>Deferred inflows of resources:</t>
  </si>
  <si>
    <t>Total amortization of inflows</t>
  </si>
  <si>
    <t>Amortization of Deferred Outflows and Deferred Inflows of Resources:</t>
  </si>
  <si>
    <t>To be amortized during:</t>
  </si>
  <si>
    <t>Collective per</t>
  </si>
  <si>
    <t>Employer's</t>
  </si>
  <si>
    <t xml:space="preserve">From </t>
  </si>
  <si>
    <t xml:space="preserve">Year ending June 30, </t>
  </si>
  <si>
    <t>Actuary Report</t>
  </si>
  <si>
    <t>Proportion</t>
  </si>
  <si>
    <t>Above</t>
  </si>
  <si>
    <t>Total</t>
  </si>
  <si>
    <t>Thereafter</t>
  </si>
  <si>
    <t xml:space="preserve">             Totals</t>
  </si>
  <si>
    <t>Proportionate %:</t>
  </si>
  <si>
    <t>(Column G X D38)</t>
  </si>
  <si>
    <t>(Column M X D38)</t>
  </si>
  <si>
    <t xml:space="preserve">Proof of change in proportion and change in proportionate share of contributions: </t>
  </si>
  <si>
    <t>Deferred Outflows:</t>
  </si>
  <si>
    <t>Deferred Inflows:</t>
  </si>
  <si>
    <t>Sheriff</t>
  </si>
  <si>
    <t>Additional entry maybe necessary if amount is different from prior workpapers</t>
  </si>
  <si>
    <t>If the amount (total of O11, O12, O13, O14 &amp; O15) on the amortization form for last year is a deferred outflow, the amount entered here is credit to deferred outflows and debit to pension expense.  If the amount (total of O23, O24, O25, O26 &amp; O27) on the amortization form for prior years is a deferred inflow, the amount is a debit to deferred inflows and credit to pension expense.</t>
  </si>
  <si>
    <t>Sheriffs and Deputies Membership Group</t>
  </si>
  <si>
    <t>Protection Occupation Membership Group</t>
  </si>
  <si>
    <t>Total current year amortization</t>
  </si>
  <si>
    <t>Regular Membership</t>
  </si>
  <si>
    <t>Def Outflows</t>
  </si>
  <si>
    <t>Def Inflows</t>
  </si>
  <si>
    <t>Net Pen Liab</t>
  </si>
  <si>
    <t>Pen Ex</t>
  </si>
  <si>
    <t>Difference between Projected and Actual Investment</t>
  </si>
  <si>
    <t>Deferred Inflows(dr)/Outflow (cr) of Resources-from Proportionate Change (1)</t>
  </si>
  <si>
    <t>Pension Expense (1)</t>
  </si>
  <si>
    <t>Summary of Journal entry</t>
  </si>
  <si>
    <t>(1)  To record amortization of prior year deferred inflows for</t>
  </si>
  <si>
    <t>Pension Exp</t>
  </si>
  <si>
    <t>% Regular</t>
  </si>
  <si>
    <t>Contribution</t>
  </si>
  <si>
    <t xml:space="preserve">Deferred Outflows of Resources - </t>
  </si>
  <si>
    <t>THIS $ MUST AGREE TO IPERS REPORT OF CONTRIBUTIONS - NOT THE IPERS ANNUAL STATEMENT.</t>
  </si>
  <si>
    <t>E1000</t>
  </si>
  <si>
    <t>Expenditures - Pension</t>
  </si>
  <si>
    <t>E3000</t>
  </si>
  <si>
    <t>E4000</t>
  </si>
  <si>
    <t>E6000</t>
  </si>
  <si>
    <t>E7000</t>
  </si>
  <si>
    <t>E8000</t>
  </si>
  <si>
    <t>E9000</t>
  </si>
  <si>
    <t>Governmental Activities</t>
  </si>
  <si>
    <t>Business Type Activities</t>
  </si>
  <si>
    <t>Deferred Inflows of Resources-from Proportionate Change (1)</t>
  </si>
  <si>
    <t>Net Amount</t>
  </si>
  <si>
    <t xml:space="preserve">Sheriffs &amp; </t>
  </si>
  <si>
    <t xml:space="preserve">for </t>
  </si>
  <si>
    <t>Footnote</t>
  </si>
  <si>
    <t>Current Year Deferred Outflows of Resources and Deferred Inflows of Resources for the IPERS Pension Note</t>
  </si>
  <si>
    <t>Differences between expected and actual experience</t>
  </si>
  <si>
    <t>Changes of assumptions</t>
  </si>
  <si>
    <r>
      <rPr>
        <b/>
        <sz val="11"/>
        <color theme="1"/>
        <rFont val="Calibri"/>
        <family val="2"/>
        <scheme val="minor"/>
      </rPr>
      <t>Net</t>
    </r>
    <r>
      <rPr>
        <sz val="11"/>
        <color theme="1"/>
        <rFont val="Calibri"/>
        <family val="2"/>
        <scheme val="minor"/>
      </rPr>
      <t xml:space="preserve"> difference between projected and actual earnings</t>
    </r>
  </si>
  <si>
    <t xml:space="preserve">&lt;&lt;&lt;&lt;&lt; Paragraph 71b requires this </t>
  </si>
  <si>
    <t>Net # shown in Table 1</t>
  </si>
  <si>
    <t xml:space="preserve">   on IPERS' investments</t>
  </si>
  <si>
    <t xml:space="preserve">  to be recorded as a net outflow </t>
  </si>
  <si>
    <t xml:space="preserve">  or inflow)</t>
  </si>
  <si>
    <t>Changes in proportion and differences between Entity</t>
  </si>
  <si>
    <t xml:space="preserve">   contributions and the Entity's proportionate share of contributions</t>
  </si>
  <si>
    <t>Entity contributions subsequent to the measurement date</t>
  </si>
  <si>
    <t>Netted Amount</t>
  </si>
  <si>
    <t>Net Deferred Outflow/Inflow</t>
  </si>
  <si>
    <t>Net deferred outflow (Asset)</t>
  </si>
  <si>
    <t>Net deferred inflow (liability)</t>
  </si>
  <si>
    <t>less: subsequent contributions</t>
  </si>
  <si>
    <t>check figure for "Amortization Amount"</t>
  </si>
  <si>
    <t>"Amortization Amount" per Amort Summary tab</t>
  </si>
  <si>
    <t>Variance? If YES, need to adjust on Amort Summary tab.  If NO, done.</t>
  </si>
  <si>
    <t>EMPLOYER CALCULATION OF TOTAL NET PENSION LIABILITY/(ASSET) AND PROPORTION</t>
  </si>
  <si>
    <t xml:space="preserve">Methodology: IPERS' actuary has calculated a Net Pension Liability/(Asset) for each employee group, as detailed in the GASB 68 Report </t>
  </si>
  <si>
    <t>posted on www.ipers.org. Using each employer's proportion of employer contributions paid to IPERS (i.e. your employer</t>
  </si>
  <si>
    <t xml:space="preserve">contributions divided by all employer contributions paid to IPERS), IPERS has apportioned the Net Pension </t>
  </si>
  <si>
    <t xml:space="preserve">Liability/(Asset) to each employer by employee group. </t>
  </si>
  <si>
    <t>Using the steps detailed below, you will find the Net Pension Liability/(Asset) that has been apportioned to you. You will then</t>
  </si>
  <si>
    <t xml:space="preserve">calculate your total Net Pension Liability/(Asset) and your proportion (percentage) of the Net Pension Liability/(Asset) to </t>
  </si>
  <si>
    <t>shown in the examples below.</t>
  </si>
  <si>
    <t>Step 1:</t>
  </si>
  <si>
    <t>Find all Employer ID Numbers for which you report.</t>
  </si>
  <si>
    <t>Step 2:</t>
  </si>
  <si>
    <t xml:space="preserve">If you have more than one type of employee (Regular, Sheriffs and Deputies, and Protection Occupations), find the </t>
  </si>
  <si>
    <t>Net Pension Liability/(Asset) for each group.</t>
  </si>
  <si>
    <t>Step 3:</t>
  </si>
  <si>
    <t>Total the Net Pension Liability/(Asset) column for all Employer ID rows and groups you have selected, as shown in</t>
  </si>
  <si>
    <t>the examples.</t>
  </si>
  <si>
    <t>Step 4:</t>
  </si>
  <si>
    <t xml:space="preserve">Take your total Net Pension Liability/(Asset) calculated in Step 3 and divide it by IPERS' collective Net Pension Liability </t>
  </si>
  <si>
    <t>NOTE:</t>
  </si>
  <si>
    <t>Measurement Date</t>
  </si>
  <si>
    <t>IPERS Collective NPL</t>
  </si>
  <si>
    <t>EXAMPLES</t>
  </si>
  <si>
    <t>EMPLOYER ID NUMBER</t>
  </si>
  <si>
    <t>EMPLOYER_NAME</t>
  </si>
  <si>
    <t>GROUP</t>
  </si>
  <si>
    <t>Net Pension Liability/(Asset)</t>
  </si>
  <si>
    <t>Sheriffs &amp; Deputies</t>
  </si>
  <si>
    <t>Protection Occupation</t>
  </si>
  <si>
    <t>IPERS Collective Net Pension Liability/(Asset):</t>
  </si>
  <si>
    <t xml:space="preserve">Entity's calculated proportion: </t>
  </si>
  <si>
    <t>Sheriff/Deputy</t>
  </si>
  <si>
    <t>IPERS Collective Net Pension Liability:</t>
  </si>
  <si>
    <t>Change in Entity's collective proportion:</t>
  </si>
  <si>
    <t>report in your ACFR by dividing your total Net Pension Liability/(Asset) by IPERS' collective Net Pension Liability/(Asset), as</t>
  </si>
  <si>
    <t>to calculate your proportion to report in your ACFR.</t>
  </si>
  <si>
    <t>Plug</t>
  </si>
  <si>
    <t>Figure</t>
  </si>
  <si>
    <t xml:space="preserve">Pension Expense </t>
  </si>
  <si>
    <t xml:space="preserve">Change in NPL due to 1% (for the Plan): </t>
  </si>
  <si>
    <t>GASB 68 CALCULATOR - Regular Membership Group</t>
  </si>
  <si>
    <t>Proportionate</t>
  </si>
  <si>
    <t>Share at</t>
  </si>
  <si>
    <t>GASB 68 CALCULATOR - Protection Occupation Group</t>
  </si>
  <si>
    <t>GASB 68 CALCULATOR - Sheriff and Deputies Group</t>
  </si>
  <si>
    <t>Reg Tab - cell 130/131</t>
  </si>
  <si>
    <t>S+D - cell 130/131</t>
  </si>
  <si>
    <t>PO - cell 130/131</t>
  </si>
  <si>
    <t>Current Year Regular J90</t>
  </si>
  <si>
    <t>Current Year Sheriffs and Deputies J90</t>
  </si>
  <si>
    <t>E9000 (Rounding)</t>
  </si>
  <si>
    <t>Adjusted</t>
  </si>
  <si>
    <t>Amounts</t>
  </si>
  <si>
    <t>for footnote</t>
  </si>
  <si>
    <t>Source:   2023 IPERS Actuary GASB 68 Report</t>
  </si>
  <si>
    <t>IPERS June 30, 2023 Collective Pension Amounts</t>
  </si>
  <si>
    <t>Collective Amounts at June 30, 2023:</t>
  </si>
  <si>
    <t>2023 Employer Contributions</t>
  </si>
  <si>
    <t>Enter data from the 2023 IPERS Schedule of Employer Allocations</t>
  </si>
  <si>
    <t>amounts at</t>
  </si>
  <si>
    <t xml:space="preserve">Collective </t>
  </si>
  <si>
    <t xml:space="preserve">Source:  County's expenditure pivot table.  Used for AJE to recorded </t>
  </si>
  <si>
    <t xml:space="preserve">     employer contributions as deferred outflows and is also used </t>
  </si>
  <si>
    <t xml:space="preserve">   in AJE to allocate pension expense among functions (Column W).</t>
  </si>
  <si>
    <t>Measurement Date: 6/30/2023</t>
  </si>
  <si>
    <t>Source:   2024 IPERS Actuary GASB 68 Report</t>
  </si>
  <si>
    <t>2023 Total Plan Contributions</t>
  </si>
  <si>
    <t>Beginning balance collective measures (June 30, 2023):</t>
  </si>
  <si>
    <t>Journal Entries for Entity's Year Ended June 30, 2025 (June 30, 2024 measurement date)</t>
  </si>
  <si>
    <t>To record pension accrual amounts for the year ended June 30, 2025</t>
  </si>
  <si>
    <t>based on the June 30, 2024 measurement date.</t>
  </si>
  <si>
    <t>the year ended June 30, 2025</t>
  </si>
  <si>
    <t>Journal Entry to record deferred outflow at June 30, 2025:</t>
  </si>
  <si>
    <t>We will be posting 3 schedules for the 6/30/2024 Measurement Date (one for each Membership Group).</t>
  </si>
  <si>
    <t>You will need to do this for the 6/30/2023 and the 6/30/2024 Measurement Dates</t>
  </si>
  <si>
    <t>Measurement Date: 6/30/2024</t>
  </si>
  <si>
    <t>(Employer contributions are different than Employer contributions on Data tab</t>
  </si>
  <si>
    <t>due to I believe IPERS employees)</t>
  </si>
  <si>
    <t xml:space="preserve"> - Entity contributions from 7/01/2023 through 6/30/2024</t>
  </si>
  <si>
    <t>To record employer contributions from July 1, 2024</t>
  </si>
  <si>
    <t>through June 30, 2025 as deferred outflows.</t>
  </si>
  <si>
    <t>IPERS June 30, 2024 Collective Pension Amounts</t>
  </si>
  <si>
    <t>Collective Amounts at June 30, 2024:</t>
  </si>
  <si>
    <t>Enter data from the 2024 IPERS Schedule of Employer Allocations</t>
  </si>
  <si>
    <t>2024 Employer Contributions</t>
  </si>
  <si>
    <t xml:space="preserve">2024 Total Plan Contributions </t>
  </si>
  <si>
    <t xml:space="preserve"> ( Per page 30 of IPERS June 30, 2024 GASB 68 Actuary Report)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</si>
</sst>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* #,##0_);_(* \(#,##0\);_(* &quot;-&quot;??_);_(@_)"/>
    <numFmt numFmtId="167" formatCode="0.00000000%"/>
    <numFmt numFmtId="168" formatCode="0.0000000000"/>
    <numFmt numFmtId="169" formatCode="0.00000000"/>
    <numFmt numFmtId="170" formatCode="0_);\(0\)"/>
    <numFmt numFmtId="171" formatCode="0.000000%"/>
    <numFmt numFmtId="172" formatCode="#,##0.0000000000"/>
    <numFmt numFmtId="173" formatCode="_(&quot;$&quot;* #,##0_);_(&quot;$&quot;* \(#,##0\);_(&quot;$&quot;* &quot;-&quot;??????_);_(@_)"/>
    <numFmt numFmtId="17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rgb="FF0000FF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7">
    <xf numFmtId="0" fontId="0" fillId="0" borderId="0" xfId="0"/>
    <xf numFmtId="164" fontId="0" fillId="0" borderId="0" xfId="2" applyNumberFormat="1" applyFont="1"/>
    <xf numFmtId="166" fontId="0" fillId="0" borderId="0" xfId="1" applyNumberFormat="1" applyFont="1"/>
    <xf numFmtId="164" fontId="0" fillId="0" borderId="2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right"/>
    </xf>
    <xf numFmtId="166" fontId="0" fillId="0" borderId="0" xfId="0" applyNumberFormat="1"/>
    <xf numFmtId="166" fontId="2" fillId="0" borderId="3" xfId="0" applyNumberFormat="1" applyFont="1" applyBorder="1" applyAlignment="1">
      <alignment horizontal="center"/>
    </xf>
    <xf numFmtId="0" fontId="2" fillId="0" borderId="0" xfId="0" applyFont="1" applyAlignment="1"/>
    <xf numFmtId="44" fontId="0" fillId="0" borderId="0" xfId="2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44" fontId="0" fillId="0" borderId="0" xfId="0" applyNumberFormat="1"/>
    <xf numFmtId="166" fontId="2" fillId="0" borderId="0" xfId="0" applyNumberFormat="1" applyFont="1" applyBorder="1" applyAlignment="1">
      <alignment horizontal="center"/>
    </xf>
    <xf numFmtId="41" fontId="0" fillId="0" borderId="0" xfId="2" applyNumberFormat="1" applyFont="1"/>
    <xf numFmtId="41" fontId="0" fillId="0" borderId="0" xfId="0" applyNumberFormat="1"/>
    <xf numFmtId="0" fontId="0" fillId="0" borderId="0" xfId="0" applyFill="1" applyAlignment="1" applyProtection="1">
      <alignment horizontal="left"/>
    </xf>
    <xf numFmtId="0" fontId="0" fillId="0" borderId="0" xfId="0" applyFill="1"/>
    <xf numFmtId="43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8" fillId="0" borderId="4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/>
    <xf numFmtId="41" fontId="8" fillId="0" borderId="2" xfId="0" applyNumberFormat="1" applyFont="1" applyBorder="1"/>
    <xf numFmtId="41" fontId="8" fillId="0" borderId="0" xfId="0" applyNumberFormat="1" applyFont="1" applyBorder="1"/>
    <xf numFmtId="172" fontId="8" fillId="0" borderId="0" xfId="0" applyNumberFormat="1" applyFont="1" applyBorder="1"/>
    <xf numFmtId="0" fontId="8" fillId="2" borderId="0" xfId="0" applyFont="1" applyFill="1"/>
    <xf numFmtId="0" fontId="0" fillId="2" borderId="0" xfId="0" applyFill="1"/>
    <xf numFmtId="164" fontId="1" fillId="0" borderId="0" xfId="2" applyNumberFormat="1"/>
    <xf numFmtId="6" fontId="0" fillId="2" borderId="0" xfId="0" applyNumberFormat="1" applyFill="1"/>
    <xf numFmtId="171" fontId="8" fillId="0" borderId="3" xfId="0" applyNumberFormat="1" applyFont="1" applyBorder="1"/>
    <xf numFmtId="0" fontId="8" fillId="0" borderId="0" xfId="0" applyFont="1" applyAlignment="1">
      <alignment horizontal="center"/>
    </xf>
    <xf numFmtId="6" fontId="0" fillId="0" borderId="0" xfId="0" applyNumberFormat="1" applyBorder="1" applyAlignment="1">
      <alignment horizontal="center"/>
    </xf>
    <xf numFmtId="41" fontId="8" fillId="0" borderId="0" xfId="0" applyNumberFormat="1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4" fontId="0" fillId="3" borderId="6" xfId="2" applyNumberFormat="1" applyFont="1" applyFill="1" applyBorder="1"/>
    <xf numFmtId="0" fontId="0" fillId="0" borderId="1" xfId="0" applyFont="1" applyFill="1" applyBorder="1" applyAlignment="1">
      <alignment horizontal="center"/>
    </xf>
    <xf numFmtId="171" fontId="0" fillId="0" borderId="2" xfId="3" applyNumberFormat="1" applyFont="1" applyBorder="1"/>
    <xf numFmtId="0" fontId="0" fillId="0" borderId="0" xfId="0" applyFill="1" applyBorder="1"/>
    <xf numFmtId="164" fontId="0" fillId="0" borderId="0" xfId="2" applyNumberFormat="1" applyFont="1" applyFill="1" applyBorder="1"/>
    <xf numFmtId="164" fontId="0" fillId="0" borderId="0" xfId="0" applyNumberFormat="1" applyFill="1" applyBorder="1"/>
    <xf numFmtId="44" fontId="0" fillId="0" borderId="0" xfId="0" applyNumberFormat="1" applyFill="1" applyBorder="1"/>
    <xf numFmtId="0" fontId="0" fillId="0" borderId="0" xfId="0" applyFill="1" applyAlignment="1">
      <alignment horizontal="center"/>
    </xf>
    <xf numFmtId="164" fontId="0" fillId="3" borderId="6" xfId="2" applyNumberFormat="1" applyFont="1" applyFill="1" applyBorder="1" applyProtection="1">
      <protection locked="0"/>
    </xf>
    <xf numFmtId="164" fontId="0" fillId="0" borderId="18" xfId="2" applyNumberFormat="1" applyFont="1" applyFill="1" applyBorder="1" applyProtection="1"/>
    <xf numFmtId="164" fontId="0" fillId="0" borderId="18" xfId="2" applyNumberFormat="1" applyFont="1" applyFill="1" applyBorder="1" applyProtection="1">
      <protection locked="0"/>
    </xf>
    <xf numFmtId="164" fontId="0" fillId="0" borderId="15" xfId="2" applyNumberFormat="1" applyFont="1" applyBorder="1"/>
    <xf numFmtId="43" fontId="0" fillId="0" borderId="0" xfId="1" applyFont="1"/>
    <xf numFmtId="41" fontId="0" fillId="0" borderId="0" xfId="2" applyNumberFormat="1" applyFont="1" applyFill="1"/>
    <xf numFmtId="44" fontId="0" fillId="0" borderId="0" xfId="2" applyFont="1" applyFill="1"/>
    <xf numFmtId="166" fontId="0" fillId="0" borderId="0" xfId="1" applyNumberFormat="1" applyFont="1" applyFill="1"/>
    <xf numFmtId="0" fontId="0" fillId="0" borderId="0" xfId="0"/>
    <xf numFmtId="164" fontId="0" fillId="0" borderId="0" xfId="0" applyNumberFormat="1"/>
    <xf numFmtId="0" fontId="0" fillId="0" borderId="0" xfId="0" applyFill="1"/>
    <xf numFmtId="166" fontId="0" fillId="0" borderId="0" xfId="1" applyNumberFormat="1" applyFont="1" applyFill="1" applyBorder="1"/>
    <xf numFmtId="166" fontId="0" fillId="0" borderId="1" xfId="1" applyNumberFormat="1" applyFont="1" applyFill="1" applyBorder="1"/>
    <xf numFmtId="164" fontId="0" fillId="0" borderId="3" xfId="0" applyNumberFormat="1" applyFill="1" applyBorder="1"/>
    <xf numFmtId="0" fontId="0" fillId="0" borderId="1" xfId="0" applyBorder="1" applyAlignment="1">
      <alignment horizontal="center" wrapText="1"/>
    </xf>
    <xf numFmtId="166" fontId="0" fillId="0" borderId="0" xfId="1" applyNumberFormat="1" applyFont="1" applyFill="1" applyProtection="1"/>
    <xf numFmtId="166" fontId="0" fillId="0" borderId="0" xfId="1" applyNumberFormat="1" applyFont="1" applyFill="1" applyAlignment="1" applyProtection="1">
      <alignment horizontal="center"/>
    </xf>
    <xf numFmtId="0" fontId="0" fillId="0" borderId="0" xfId="0" applyFill="1" applyProtection="1"/>
    <xf numFmtId="0" fontId="0" fillId="0" borderId="0" xfId="0" applyFill="1" applyBorder="1" applyAlignment="1" applyProtection="1">
      <alignment wrapText="1"/>
    </xf>
    <xf numFmtId="0" fontId="0" fillId="0" borderId="6" xfId="0" applyFill="1" applyBorder="1" applyProtection="1"/>
    <xf numFmtId="0" fontId="0" fillId="0" borderId="15" xfId="0" applyFill="1" applyBorder="1" applyProtection="1"/>
    <xf numFmtId="0" fontId="0" fillId="0" borderId="20" xfId="0" applyFill="1" applyBorder="1" applyProtection="1"/>
    <xf numFmtId="0" fontId="0" fillId="0" borderId="0" xfId="0" applyFill="1" applyBorder="1" applyAlignment="1" applyProtection="1">
      <alignment vertical="top" wrapText="1"/>
    </xf>
    <xf numFmtId="0" fontId="2" fillId="0" borderId="1" xfId="0" applyFont="1" applyBorder="1" applyAlignment="1">
      <alignment horizontal="center"/>
    </xf>
    <xf numFmtId="164" fontId="2" fillId="0" borderId="2" xfId="2" applyNumberFormat="1" applyFont="1" applyBorder="1"/>
    <xf numFmtId="164" fontId="2" fillId="0" borderId="0" xfId="2" applyNumberFormat="1" applyFont="1"/>
    <xf numFmtId="166" fontId="0" fillId="0" borderId="2" xfId="0" applyNumberFormat="1" applyBorder="1"/>
    <xf numFmtId="1" fontId="0" fillId="0" borderId="0" xfId="0" applyNumberFormat="1" applyFill="1"/>
    <xf numFmtId="0" fontId="0" fillId="0" borderId="0" xfId="0" applyFont="1" applyFill="1" applyAlignment="1">
      <alignment horizontal="center"/>
    </xf>
    <xf numFmtId="164" fontId="0" fillId="0" borderId="0" xfId="2" applyNumberFormat="1" applyFont="1" applyFill="1"/>
    <xf numFmtId="164" fontId="0" fillId="0" borderId="2" xfId="2" applyNumberFormat="1" applyFont="1" applyFill="1" applyBorder="1"/>
    <xf numFmtId="0" fontId="2" fillId="0" borderId="0" xfId="0" applyFont="1" applyFill="1" applyProtection="1"/>
    <xf numFmtId="164" fontId="0" fillId="0" borderId="0" xfId="0" applyNumberFormat="1" applyFill="1" applyProtection="1"/>
    <xf numFmtId="171" fontId="0" fillId="0" borderId="0" xfId="3" applyNumberFormat="1" applyFont="1" applyFill="1" applyBorder="1" applyProtection="1"/>
    <xf numFmtId="0" fontId="0" fillId="0" borderId="0" xfId="0" applyFill="1" applyBorder="1" applyProtection="1"/>
    <xf numFmtId="9" fontId="0" fillId="0" borderId="0" xfId="3" applyFont="1" applyFill="1" applyProtection="1"/>
    <xf numFmtId="171" fontId="0" fillId="0" borderId="2" xfId="0" applyNumberFormat="1" applyFill="1" applyBorder="1" applyProtection="1"/>
    <xf numFmtId="164" fontId="0" fillId="0" borderId="0" xfId="2" applyNumberFormat="1" applyFont="1" applyFill="1" applyBorder="1" applyProtection="1"/>
    <xf numFmtId="0" fontId="0" fillId="0" borderId="0" xfId="0" applyFill="1" applyAlignment="1">
      <alignment horizontal="right"/>
    </xf>
    <xf numFmtId="0" fontId="9" fillId="0" borderId="0" xfId="0" applyFont="1" applyFill="1" applyAlignment="1" applyProtection="1"/>
    <xf numFmtId="15" fontId="0" fillId="0" borderId="1" xfId="0" applyNumberFormat="1" applyFill="1" applyBorder="1" applyAlignment="1" applyProtection="1"/>
    <xf numFmtId="0" fontId="4" fillId="0" borderId="0" xfId="0" applyFont="1" applyFill="1" applyProtection="1"/>
    <xf numFmtId="164" fontId="0" fillId="0" borderId="0" xfId="2" applyNumberFormat="1" applyFont="1" applyFill="1" applyProtection="1"/>
    <xf numFmtId="164" fontId="0" fillId="0" borderId="2" xfId="2" applyNumberFormat="1" applyFont="1" applyFill="1" applyBorder="1" applyProtection="1"/>
    <xf numFmtId="10" fontId="0" fillId="0" borderId="0" xfId="3" applyNumberFormat="1" applyFont="1" applyFill="1" applyAlignment="1" applyProtection="1">
      <alignment horizontal="right"/>
    </xf>
    <xf numFmtId="0" fontId="0" fillId="0" borderId="0" xfId="0" applyFill="1" applyAlignment="1" applyProtection="1">
      <alignment horizontal="right"/>
    </xf>
    <xf numFmtId="164" fontId="0" fillId="0" borderId="3" xfId="2" applyNumberFormat="1" applyFont="1" applyFill="1" applyBorder="1" applyProtection="1"/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64" fontId="0" fillId="0" borderId="2" xfId="0" applyNumberFormat="1" applyFill="1" applyBorder="1" applyProtection="1"/>
    <xf numFmtId="164" fontId="0" fillId="0" borderId="0" xfId="0" applyNumberFormat="1" applyFill="1" applyAlignment="1" applyProtection="1">
      <alignment horizontal="right"/>
    </xf>
    <xf numFmtId="164" fontId="0" fillId="0" borderId="0" xfId="0" applyNumberFormat="1" applyFill="1" applyBorder="1" applyProtection="1"/>
    <xf numFmtId="164" fontId="0" fillId="0" borderId="0" xfId="2" applyNumberFormat="1" applyFont="1" applyFill="1" applyAlignment="1" applyProtection="1">
      <alignment horizontal="right"/>
    </xf>
    <xf numFmtId="164" fontId="0" fillId="0" borderId="1" xfId="0" applyNumberFormat="1" applyFill="1" applyBorder="1" applyProtection="1"/>
    <xf numFmtId="164" fontId="0" fillId="0" borderId="2" xfId="0" applyNumberFormat="1" applyFill="1" applyBorder="1" applyAlignment="1" applyProtection="1">
      <alignment horizontal="right"/>
    </xf>
    <xf numFmtId="173" fontId="0" fillId="0" borderId="0" xfId="0" applyNumberFormat="1" applyFill="1" applyProtection="1"/>
    <xf numFmtId="173" fontId="0" fillId="0" borderId="0" xfId="0" applyNumberFormat="1" applyFill="1" applyAlignment="1" applyProtection="1">
      <alignment horizontal="right"/>
    </xf>
    <xf numFmtId="0" fontId="5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6" fillId="0" borderId="0" xfId="0" applyFont="1" applyFill="1" applyProtection="1"/>
    <xf numFmtId="169" fontId="0" fillId="0" borderId="7" xfId="0" applyNumberFormat="1" applyFont="1" applyFill="1" applyBorder="1" applyProtection="1"/>
    <xf numFmtId="169" fontId="0" fillId="0" borderId="7" xfId="0" applyNumberFormat="1" applyFont="1" applyFill="1" applyBorder="1" applyAlignment="1" applyProtection="1">
      <alignment horizontal="center"/>
    </xf>
    <xf numFmtId="164" fontId="0" fillId="0" borderId="5" xfId="2" applyNumberFormat="1" applyFont="1" applyFill="1" applyBorder="1" applyProtection="1"/>
    <xf numFmtId="164" fontId="0" fillId="0" borderId="16" xfId="2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2" applyNumberFormat="1" applyFont="1" applyFill="1" applyAlignment="1" applyProtection="1">
      <alignment horizontal="center"/>
    </xf>
    <xf numFmtId="171" fontId="0" fillId="0" borderId="5" xfId="0" applyNumberFormat="1" applyFont="1" applyFill="1" applyBorder="1" applyProtection="1"/>
    <xf numFmtId="164" fontId="0" fillId="0" borderId="17" xfId="2" applyNumberFormat="1" applyFont="1" applyFill="1" applyBorder="1" applyProtection="1"/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2" fillId="0" borderId="1" xfId="0" applyFont="1" applyFill="1" applyBorder="1" applyProtection="1"/>
    <xf numFmtId="44" fontId="0" fillId="0" borderId="0" xfId="0" applyNumberFormat="1" applyFill="1" applyProtection="1"/>
    <xf numFmtId="44" fontId="0" fillId="0" borderId="0" xfId="2" applyFont="1" applyFill="1" applyProtection="1"/>
    <xf numFmtId="0" fontId="4" fillId="0" borderId="0" xfId="0" applyFont="1" applyFill="1" applyBorder="1" applyProtection="1"/>
    <xf numFmtId="0" fontId="0" fillId="0" borderId="1" xfId="0" applyFill="1" applyBorder="1" applyProtection="1"/>
    <xf numFmtId="171" fontId="0" fillId="0" borderId="0" xfId="0" applyNumberFormat="1" applyFont="1" applyFill="1" applyBorder="1" applyProtection="1"/>
    <xf numFmtId="168" fontId="0" fillId="0" borderId="0" xfId="0" applyNumberForma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0" xfId="0" applyFont="1" applyFill="1" applyProtection="1"/>
    <xf numFmtId="0" fontId="3" fillId="0" borderId="0" xfId="0" applyFont="1" applyFill="1" applyBorder="1" applyProtection="1"/>
    <xf numFmtId="167" fontId="0" fillId="0" borderId="0" xfId="3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0" fillId="0" borderId="0" xfId="0" applyNumberFormat="1" applyFill="1" applyAlignment="1" applyProtection="1">
      <alignment horizontal="center"/>
    </xf>
    <xf numFmtId="1" fontId="0" fillId="0" borderId="0" xfId="0" applyNumberFormat="1" applyFill="1" applyProtection="1"/>
    <xf numFmtId="164" fontId="0" fillId="0" borderId="1" xfId="2" applyNumberFormat="1" applyFont="1" applyFill="1" applyBorder="1" applyProtection="1"/>
    <xf numFmtId="168" fontId="2" fillId="0" borderId="0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Fill="1" applyProtection="1"/>
    <xf numFmtId="166" fontId="0" fillId="0" borderId="1" xfId="1" applyNumberFormat="1" applyFont="1" applyFill="1" applyBorder="1" applyProtection="1"/>
    <xf numFmtId="166" fontId="0" fillId="0" borderId="1" xfId="1" applyNumberFormat="1" applyFont="1" applyFill="1" applyBorder="1" applyAlignment="1" applyProtection="1">
      <alignment horizontal="center"/>
    </xf>
    <xf numFmtId="166" fontId="0" fillId="0" borderId="3" xfId="1" applyNumberFormat="1" applyFont="1" applyFill="1" applyBorder="1" applyProtection="1"/>
    <xf numFmtId="166" fontId="0" fillId="0" borderId="3" xfId="1" applyNumberFormat="1" applyFont="1" applyFill="1" applyBorder="1" applyAlignment="1" applyProtection="1">
      <alignment horizontal="center"/>
    </xf>
    <xf numFmtId="1" fontId="0" fillId="0" borderId="0" xfId="0" applyNumberFormat="1" applyFill="1" applyBorder="1" applyProtection="1"/>
    <xf numFmtId="0" fontId="4" fillId="0" borderId="0" xfId="0" applyFont="1" applyFill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6" fontId="2" fillId="0" borderId="3" xfId="0" applyNumberFormat="1" applyFont="1" applyFill="1" applyBorder="1" applyAlignment="1" applyProtection="1">
      <alignment horizontal="center"/>
    </xf>
    <xf numFmtId="166" fontId="2" fillId="0" borderId="0" xfId="0" applyNumberFormat="1" applyFont="1" applyFill="1" applyBorder="1" applyAlignment="1" applyProtection="1">
      <alignment horizontal="center"/>
    </xf>
    <xf numFmtId="44" fontId="0" fillId="0" borderId="0" xfId="2" applyFont="1" applyFill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0" fillId="0" borderId="3" xfId="0" applyNumberFormat="1" applyFill="1" applyBorder="1" applyProtection="1"/>
    <xf numFmtId="0" fontId="5" fillId="0" borderId="0" xfId="0" applyFont="1" applyFill="1"/>
    <xf numFmtId="0" fontId="6" fillId="0" borderId="0" xfId="0" applyFont="1" applyFill="1"/>
    <xf numFmtId="169" fontId="0" fillId="0" borderId="7" xfId="0" applyNumberFormat="1" applyFont="1" applyFill="1" applyBorder="1"/>
    <xf numFmtId="169" fontId="0" fillId="0" borderId="7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164" fontId="0" fillId="0" borderId="5" xfId="2" applyNumberFormat="1" applyFont="1" applyFill="1" applyBorder="1"/>
    <xf numFmtId="164" fontId="0" fillId="0" borderId="16" xfId="2" applyNumberFormat="1" applyFont="1" applyFill="1" applyBorder="1"/>
    <xf numFmtId="0" fontId="0" fillId="0" borderId="0" xfId="0" applyFill="1" applyBorder="1" applyAlignment="1">
      <alignment horizontal="center"/>
    </xf>
    <xf numFmtId="164" fontId="0" fillId="0" borderId="0" xfId="2" applyNumberFormat="1" applyFont="1" applyFill="1" applyAlignment="1">
      <alignment horizontal="center"/>
    </xf>
    <xf numFmtId="171" fontId="0" fillId="0" borderId="5" xfId="0" applyNumberFormat="1" applyFont="1" applyFill="1" applyBorder="1"/>
    <xf numFmtId="173" fontId="0" fillId="0" borderId="0" xfId="0" applyNumberFormat="1" applyFill="1"/>
    <xf numFmtId="164" fontId="0" fillId="0" borderId="17" xfId="2" applyNumberFormat="1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/>
    <xf numFmtId="44" fontId="0" fillId="0" borderId="0" xfId="0" applyNumberFormat="1" applyFill="1"/>
    <xf numFmtId="0" fontId="4" fillId="0" borderId="0" xfId="0" applyFont="1" applyFill="1" applyBorder="1"/>
    <xf numFmtId="0" fontId="0" fillId="0" borderId="1" xfId="0" applyFill="1" applyBorder="1"/>
    <xf numFmtId="171" fontId="0" fillId="0" borderId="0" xfId="0" applyNumberFormat="1" applyFont="1" applyFill="1" applyBorder="1"/>
    <xf numFmtId="168" fontId="0" fillId="0" borderId="0" xfId="0" applyNumberForma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Border="1"/>
    <xf numFmtId="167" fontId="0" fillId="0" borderId="0" xfId="3" applyNumberFormat="1" applyFont="1" applyFill="1" applyBorder="1" applyAlignment="1">
      <alignment horizontal="center"/>
    </xf>
    <xf numFmtId="164" fontId="0" fillId="0" borderId="3" xfId="2" applyNumberFormat="1" applyFont="1" applyFill="1" applyBorder="1"/>
    <xf numFmtId="164" fontId="0" fillId="0" borderId="0" xfId="0" applyNumberFormat="1" applyFill="1"/>
    <xf numFmtId="0" fontId="4" fillId="0" borderId="0" xfId="0" applyFont="1" applyFill="1"/>
    <xf numFmtId="0" fontId="2" fillId="0" borderId="0" xfId="0" applyFont="1" applyFill="1" applyBorder="1"/>
    <xf numFmtId="164" fontId="0" fillId="0" borderId="0" xfId="0" applyNumberFormat="1" applyFill="1" applyAlignment="1">
      <alignment horizontal="center"/>
    </xf>
    <xf numFmtId="164" fontId="0" fillId="0" borderId="1" xfId="2" applyNumberFormat="1" applyFont="1" applyFill="1" applyBorder="1"/>
    <xf numFmtId="168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0" fillId="0" borderId="1" xfId="1" applyNumberFormat="1" applyFont="1" applyFill="1" applyBorder="1" applyAlignment="1">
      <alignment horizontal="center"/>
    </xf>
    <xf numFmtId="166" fontId="0" fillId="0" borderId="3" xfId="1" applyNumberFormat="1" applyFont="1" applyFill="1" applyBorder="1"/>
    <xf numFmtId="166" fontId="0" fillId="0" borderId="3" xfId="1" applyNumberFormat="1" applyFont="1" applyFill="1" applyBorder="1" applyAlignment="1">
      <alignment horizontal="center"/>
    </xf>
    <xf numFmtId="1" fontId="0" fillId="0" borderId="0" xfId="0" applyNumberFormat="1" applyFill="1" applyBorder="1"/>
    <xf numFmtId="0" fontId="4" fillId="0" borderId="0" xfId="0" applyFont="1" applyFill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4" fontId="0" fillId="0" borderId="0" xfId="2" applyFont="1" applyFill="1" applyAlignment="1">
      <alignment horizontal="center"/>
    </xf>
    <xf numFmtId="164" fontId="0" fillId="0" borderId="2" xfId="0" applyNumberFormat="1" applyFill="1" applyBorder="1"/>
    <xf numFmtId="0" fontId="0" fillId="0" borderId="2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5" xfId="2" applyNumberFormat="1" applyFont="1" applyFill="1" applyBorder="1"/>
    <xf numFmtId="171" fontId="0" fillId="0" borderId="2" xfId="3" applyNumberFormat="1" applyFont="1" applyFill="1" applyBorder="1"/>
    <xf numFmtId="164" fontId="0" fillId="0" borderId="0" xfId="2" applyNumberFormat="1" applyFont="1" applyFill="1" applyAlignment="1"/>
    <xf numFmtId="164" fontId="0" fillId="4" borderId="6" xfId="2" applyNumberFormat="1" applyFont="1" applyFill="1" applyBorder="1"/>
    <xf numFmtId="164" fontId="0" fillId="0" borderId="2" xfId="0" applyNumberFormat="1" applyFont="1" applyFill="1" applyBorder="1"/>
    <xf numFmtId="14" fontId="0" fillId="0" borderId="4" xfId="0" applyNumberFormat="1" applyFill="1" applyBorder="1" applyAlignment="1">
      <alignment horizontal="center"/>
    </xf>
    <xf numFmtId="6" fontId="0" fillId="0" borderId="13" xfId="0" applyNumberFormat="1" applyFill="1" applyBorder="1"/>
    <xf numFmtId="164" fontId="0" fillId="5" borderId="6" xfId="2" applyNumberFormat="1" applyFont="1" applyFill="1" applyBorder="1" applyProtection="1">
      <protection locked="0"/>
    </xf>
    <xf numFmtId="171" fontId="0" fillId="5" borderId="1" xfId="3" applyNumberFormat="1" applyFont="1" applyFill="1" applyBorder="1" applyProtection="1">
      <protection locked="0"/>
    </xf>
    <xf numFmtId="170" fontId="0" fillId="5" borderId="6" xfId="0" applyNumberFormat="1" applyFill="1" applyBorder="1" applyProtection="1">
      <protection locked="0"/>
    </xf>
    <xf numFmtId="166" fontId="0" fillId="5" borderId="5" xfId="1" applyNumberFormat="1" applyFont="1" applyFill="1" applyBorder="1" applyProtection="1">
      <protection locked="0"/>
    </xf>
    <xf numFmtId="166" fontId="0" fillId="5" borderId="6" xfId="1" applyNumberFormat="1" applyFon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0" xfId="0" applyBorder="1"/>
    <xf numFmtId="0" fontId="0" fillId="0" borderId="11" xfId="0" applyBorder="1"/>
    <xf numFmtId="43" fontId="0" fillId="0" borderId="10" xfId="1" applyFont="1" applyBorder="1"/>
    <xf numFmtId="43" fontId="0" fillId="6" borderId="10" xfId="1" applyFont="1" applyFill="1" applyBorder="1"/>
    <xf numFmtId="43" fontId="0" fillId="7" borderId="0" xfId="1" applyFont="1" applyFill="1"/>
    <xf numFmtId="43" fontId="0" fillId="8" borderId="0" xfId="1" applyFont="1" applyFill="1"/>
    <xf numFmtId="43" fontId="0" fillId="9" borderId="0" xfId="1" applyFont="1" applyFill="1"/>
    <xf numFmtId="0" fontId="0" fillId="0" borderId="10" xfId="0" applyBorder="1" applyAlignment="1">
      <alignment horizontal="left"/>
    </xf>
    <xf numFmtId="43" fontId="0" fillId="6" borderId="0" xfId="1" applyFont="1" applyFill="1"/>
    <xf numFmtId="0" fontId="11" fillId="0" borderId="0" xfId="0" quotePrefix="1" applyFont="1" applyAlignment="1">
      <alignment horizontal="right"/>
    </xf>
    <xf numFmtId="43" fontId="0" fillId="0" borderId="2" xfId="1" applyFont="1" applyBorder="1"/>
    <xf numFmtId="0" fontId="0" fillId="0" borderId="12" xfId="0" applyBorder="1"/>
    <xf numFmtId="41" fontId="0" fillId="0" borderId="4" xfId="0" applyNumberFormat="1" applyBorder="1"/>
    <xf numFmtId="0" fontId="0" fillId="0" borderId="13" xfId="0" applyBorder="1"/>
    <xf numFmtId="0" fontId="12" fillId="0" borderId="0" xfId="0" applyFont="1"/>
    <xf numFmtId="164" fontId="0" fillId="10" borderId="6" xfId="2" applyNumberFormat="1" applyFont="1" applyFill="1" applyBorder="1" applyAlignment="1">
      <alignment horizontal="right"/>
    </xf>
    <xf numFmtId="164" fontId="0" fillId="11" borderId="0" xfId="2" applyNumberFormat="1" applyFont="1" applyFill="1" applyAlignment="1">
      <alignment horizontal="right"/>
    </xf>
    <xf numFmtId="43" fontId="0" fillId="0" borderId="0" xfId="0" applyNumberFormat="1" applyFill="1" applyBorder="1"/>
    <xf numFmtId="0" fontId="12" fillId="0" borderId="0" xfId="0" applyFont="1" applyAlignment="1">
      <alignment horizontal="center"/>
    </xf>
    <xf numFmtId="164" fontId="0" fillId="5" borderId="0" xfId="0" applyNumberFormat="1" applyFill="1"/>
    <xf numFmtId="164" fontId="1" fillId="0" borderId="6" xfId="2" applyNumberFormat="1" applyFont="1" applyFill="1" applyBorder="1" applyProtection="1"/>
    <xf numFmtId="43" fontId="0" fillId="5" borderId="6" xfId="1" applyFont="1" applyFill="1" applyBorder="1" applyProtection="1">
      <protection locked="0"/>
    </xf>
    <xf numFmtId="164" fontId="14" fillId="0" borderId="0" xfId="2" applyNumberFormat="1" applyFont="1"/>
    <xf numFmtId="0" fontId="14" fillId="0" borderId="0" xfId="0" applyFont="1"/>
    <xf numFmtId="41" fontId="14" fillId="0" borderId="0" xfId="2" applyNumberFormat="1" applyFont="1"/>
    <xf numFmtId="164" fontId="13" fillId="0" borderId="0" xfId="0" applyNumberFormat="1" applyFont="1"/>
    <xf numFmtId="0" fontId="2" fillId="0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1" fontId="8" fillId="2" borderId="0" xfId="0" applyNumberFormat="1" applyFont="1" applyFill="1"/>
    <xf numFmtId="0" fontId="2" fillId="0" borderId="1" xfId="0" applyFont="1" applyFill="1" applyBorder="1" applyAlignment="1">
      <alignment horizontal="center"/>
    </xf>
    <xf numFmtId="2" fontId="0" fillId="0" borderId="3" xfId="0" applyNumberFormat="1" applyFill="1" applyBorder="1" applyAlignment="1" applyProtection="1">
      <alignment horizontal="left"/>
    </xf>
    <xf numFmtId="165" fontId="0" fillId="0" borderId="0" xfId="0" applyNumberFormat="1" applyFont="1" applyFill="1" applyAlignment="1" applyProtection="1">
      <alignment horizontal="center"/>
    </xf>
    <xf numFmtId="2" fontId="0" fillId="0" borderId="0" xfId="0" applyNumberFormat="1" applyFill="1" applyProtection="1"/>
    <xf numFmtId="2" fontId="0" fillId="0" borderId="0" xfId="0" applyNumberFormat="1" applyFill="1"/>
    <xf numFmtId="165" fontId="2" fillId="0" borderId="0" xfId="0" applyNumberFormat="1" applyFont="1" applyFill="1" applyAlignment="1" applyProtection="1">
      <alignment horizontal="center"/>
    </xf>
    <xf numFmtId="165" fontId="0" fillId="0" borderId="0" xfId="0" applyNumberFormat="1" applyFont="1" applyFill="1" applyAlignment="1">
      <alignment horizontal="center"/>
    </xf>
    <xf numFmtId="43" fontId="0" fillId="0" borderId="0" xfId="1" applyFont="1" applyFill="1" applyBorder="1"/>
    <xf numFmtId="164" fontId="0" fillId="10" borderId="0" xfId="2" applyNumberFormat="1" applyFont="1" applyFill="1"/>
    <xf numFmtId="1" fontId="12" fillId="0" borderId="0" xfId="0" applyNumberFormat="1" applyFont="1" applyAlignment="1">
      <alignment horizontal="center"/>
    </xf>
    <xf numFmtId="164" fontId="0" fillId="0" borderId="0" xfId="2" applyNumberFormat="1" applyFont="1" applyBorder="1"/>
    <xf numFmtId="0" fontId="8" fillId="0" borderId="8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14" fontId="0" fillId="0" borderId="12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174" fontId="0" fillId="0" borderId="0" xfId="3" applyNumberFormat="1" applyFont="1"/>
    <xf numFmtId="43" fontId="0" fillId="0" borderId="24" xfId="0" applyNumberFormat="1" applyBorder="1"/>
    <xf numFmtId="43" fontId="0" fillId="10" borderId="0" xfId="1" applyFont="1" applyFill="1"/>
    <xf numFmtId="0" fontId="14" fillId="0" borderId="1" xfId="0" applyFont="1" applyBorder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44" fontId="0" fillId="5" borderId="6" xfId="2" applyNumberFormat="1" applyFont="1" applyFill="1" applyBorder="1" applyProtection="1">
      <protection locked="0"/>
    </xf>
    <xf numFmtId="44" fontId="0" fillId="0" borderId="0" xfId="2" applyNumberFormat="1" applyFont="1" applyFill="1" applyProtection="1"/>
    <xf numFmtId="164" fontId="0" fillId="0" borderId="0" xfId="0" applyNumberFormat="1" applyAlignment="1">
      <alignment horizontal="center"/>
    </xf>
    <xf numFmtId="0" fontId="2" fillId="0" borderId="1" xfId="0" applyFont="1" applyFill="1" applyBorder="1" applyAlignment="1" applyProtection="1">
      <alignment horizontal="center"/>
    </xf>
    <xf numFmtId="43" fontId="0" fillId="0" borderId="6" xfId="1" applyFont="1" applyFill="1" applyBorder="1" applyProtection="1">
      <protection locked="0"/>
    </xf>
    <xf numFmtId="165" fontId="2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3" borderId="0" xfId="2" applyNumberFormat="1" applyFont="1" applyFill="1" applyBorder="1"/>
    <xf numFmtId="14" fontId="0" fillId="10" borderId="10" xfId="0" applyNumberFormat="1" applyFill="1" applyBorder="1" applyAlignment="1">
      <alignment horizontal="center"/>
    </xf>
    <xf numFmtId="14" fontId="0" fillId="10" borderId="0" xfId="0" applyNumberFormat="1" applyFill="1" applyBorder="1" applyAlignment="1">
      <alignment horizontal="center"/>
    </xf>
    <xf numFmtId="6" fontId="0" fillId="10" borderId="11" xfId="0" applyNumberFormat="1" applyFill="1" applyBorder="1"/>
    <xf numFmtId="1" fontId="12" fillId="0" borderId="0" xfId="0" applyNumberFormat="1" applyFont="1" applyFill="1" applyAlignment="1">
      <alignment horizontal="center"/>
    </xf>
    <xf numFmtId="0" fontId="9" fillId="0" borderId="0" xfId="0" applyFont="1" applyFill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Fill="1" applyAlignment="1" applyProtection="1">
      <alignment horizontal="left" wrapText="1"/>
    </xf>
    <xf numFmtId="0" fontId="0" fillId="0" borderId="19" xfId="0" applyFill="1" applyBorder="1" applyAlignment="1" applyProtection="1">
      <alignment horizontal="left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38</xdr:row>
      <xdr:rowOff>0</xdr:rowOff>
    </xdr:from>
    <xdr:to>
      <xdr:col>6</xdr:col>
      <xdr:colOff>198120</xdr:colOff>
      <xdr:row>38</xdr:row>
      <xdr:rowOff>175259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B9B7DB-9507-4FFE-9F37-EA8165874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840" y="7018020"/>
          <a:ext cx="198120" cy="175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rgbClr r="0" g="0" b="0">
                  <a:alpha val="0"/>
                </a:scrgbClr>
              </a:solidFill>
            </a14:hiddenFill>
          </a:ext>
        </a:extLst>
      </xdr:spPr>
    </xdr:pic>
    <xdr:clientData/>
  </xdr:twoCellAnchor>
  <xdr:twoCellAnchor>
    <xdr:from>
      <xdr:col>10</xdr:col>
      <xdr:colOff>199390</xdr:colOff>
      <xdr:row>41</xdr:row>
      <xdr:rowOff>174625</xdr:rowOff>
    </xdr:from>
    <xdr:to>
      <xdr:col>11</xdr:col>
      <xdr:colOff>113665</xdr:colOff>
      <xdr:row>42</xdr:row>
      <xdr:rowOff>149860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EEFC0E-1E75-45BE-B6CA-13C0533F5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C0C0C0"/>
            </a:clrFrom>
            <a:clrTo>
              <a:srgbClr val="C0C0C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6770" y="7666990"/>
          <a:ext cx="150495" cy="160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rgbClr r="0" g="0" b="0">
                  <a:alpha val="0"/>
                </a:scrgbClr>
              </a:solidFill>
            </a14:hiddenFill>
          </a:ext>
        </a:extLst>
      </xdr:spPr>
    </xdr:pic>
    <xdr:clientData/>
  </xdr:twoCellAnchor>
  <xdr:twoCellAnchor>
    <xdr:from>
      <xdr:col>10</xdr:col>
      <xdr:colOff>53340</xdr:colOff>
      <xdr:row>40</xdr:row>
      <xdr:rowOff>53340</xdr:rowOff>
    </xdr:from>
    <xdr:to>
      <xdr:col>10</xdr:col>
      <xdr:colOff>129540</xdr:colOff>
      <xdr:row>46</xdr:row>
      <xdr:rowOff>144780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178F0971-73AF-457B-A747-E8976AFEFDF7}"/>
            </a:ext>
          </a:extLst>
        </xdr:cNvPr>
        <xdr:cNvSpPr/>
      </xdr:nvSpPr>
      <xdr:spPr>
        <a:xfrm>
          <a:off x="5753100" y="7437120"/>
          <a:ext cx="76200" cy="1188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zoomScale="80" zoomScaleNormal="80" workbookViewId="0">
      <selection activeCell="A27" sqref="A27"/>
    </sheetView>
  </sheetViews>
  <sheetFormatPr defaultColWidth="9.109375" defaultRowHeight="14.4" x14ac:dyDescent="0.3"/>
  <cols>
    <col min="1" max="2" width="3.6640625" style="69" customWidth="1"/>
    <col min="3" max="3" width="9.109375" style="69"/>
    <col min="4" max="4" width="23.88671875" style="69" customWidth="1"/>
    <col min="5" max="5" width="6.6640625" style="69" customWidth="1"/>
    <col min="6" max="6" width="22.33203125" style="69" bestFit="1" customWidth="1"/>
    <col min="7" max="7" width="1.5546875" style="69" customWidth="1"/>
    <col min="8" max="8" width="18.109375" style="69" bestFit="1" customWidth="1"/>
    <col min="9" max="9" width="1.6640625" style="69" customWidth="1"/>
    <col min="10" max="10" width="16" style="69" bestFit="1" customWidth="1"/>
    <col min="11" max="11" width="1.44140625" style="69" customWidth="1"/>
    <col min="12" max="12" width="16.6640625" style="69" bestFit="1" customWidth="1"/>
    <col min="13" max="13" width="1.6640625" style="69" customWidth="1"/>
    <col min="14" max="14" width="15.44140625" style="69" customWidth="1"/>
    <col min="15" max="15" width="1.6640625" style="69" customWidth="1"/>
    <col min="16" max="16" width="14" style="69" customWidth="1"/>
    <col min="17" max="17" width="1.6640625" style="69" customWidth="1"/>
    <col min="18" max="18" width="13.44140625" style="69" bestFit="1" customWidth="1"/>
    <col min="19" max="19" width="1.6640625" style="69" customWidth="1"/>
    <col min="20" max="20" width="13.5546875" style="69" customWidth="1"/>
    <col min="21" max="21" width="1.6640625" style="69" customWidth="1"/>
    <col min="22" max="22" width="12.33203125" style="69" customWidth="1"/>
    <col min="23" max="23" width="1.6640625" style="69" customWidth="1"/>
    <col min="24" max="24" width="14.109375" style="69" customWidth="1"/>
    <col min="25" max="16384" width="9.109375" style="69"/>
  </cols>
  <sheetData>
    <row r="1" spans="1:24" ht="21" x14ac:dyDescent="0.4">
      <c r="A1" s="69" t="s">
        <v>291</v>
      </c>
      <c r="F1" s="285" t="s">
        <v>307</v>
      </c>
      <c r="G1" s="285"/>
      <c r="H1" s="285"/>
      <c r="I1" s="285"/>
      <c r="J1" s="285"/>
      <c r="K1" s="285"/>
      <c r="L1" s="285"/>
      <c r="M1" s="91"/>
      <c r="N1" s="91"/>
      <c r="O1" s="91"/>
      <c r="P1" s="91"/>
    </row>
    <row r="2" spans="1:24" x14ac:dyDescent="0.3">
      <c r="F2" s="92"/>
      <c r="G2" s="92"/>
      <c r="H2" s="92"/>
      <c r="I2" s="92"/>
      <c r="J2" s="92"/>
      <c r="K2" s="92"/>
      <c r="L2" s="92"/>
    </row>
    <row r="3" spans="1:24" x14ac:dyDescent="0.3">
      <c r="F3" s="72" t="s">
        <v>0</v>
      </c>
      <c r="G3" s="72"/>
      <c r="H3" s="72" t="s">
        <v>1</v>
      </c>
      <c r="I3" s="72"/>
      <c r="J3" s="72" t="s">
        <v>2</v>
      </c>
      <c r="K3" s="72"/>
      <c r="L3" s="72" t="s">
        <v>3</v>
      </c>
    </row>
    <row r="4" spans="1:24" x14ac:dyDescent="0.3">
      <c r="A4" s="93" t="s">
        <v>308</v>
      </c>
      <c r="B4" s="93"/>
      <c r="C4" s="93"/>
      <c r="D4" s="93"/>
      <c r="E4" s="93"/>
      <c r="P4" s="52" t="s">
        <v>309</v>
      </c>
      <c r="Q4" s="52"/>
      <c r="R4" s="52"/>
      <c r="S4" s="52"/>
      <c r="T4" s="52"/>
      <c r="U4" s="52"/>
      <c r="V4" s="52"/>
      <c r="W4" s="52"/>
      <c r="X4" s="52"/>
    </row>
    <row r="5" spans="1:24" x14ac:dyDescent="0.3">
      <c r="B5" s="83" t="s">
        <v>4</v>
      </c>
      <c r="F5" s="94">
        <f t="shared" ref="F5:F6" si="0">SUM(H5:L5)</f>
        <v>47302619657</v>
      </c>
      <c r="H5" s="94">
        <v>43968927475</v>
      </c>
      <c r="I5" s="60"/>
      <c r="J5" s="94">
        <v>1072081657</v>
      </c>
      <c r="K5" s="60"/>
      <c r="L5" s="94">
        <v>2261610525</v>
      </c>
      <c r="P5" s="52" t="s">
        <v>5</v>
      </c>
      <c r="Q5" s="52"/>
      <c r="R5" s="52"/>
      <c r="S5" s="52"/>
      <c r="T5" s="52"/>
    </row>
    <row r="6" spans="1:24" x14ac:dyDescent="0.3">
      <c r="B6" s="83" t="s">
        <v>6</v>
      </c>
      <c r="E6" s="69" t="str">
        <f>IF(F5-F6=F7,"","ERROR")</f>
        <v/>
      </c>
      <c r="F6" s="94">
        <f t="shared" si="0"/>
        <v>43661123300</v>
      </c>
      <c r="H6" s="94">
        <v>40276123118</v>
      </c>
      <c r="I6" s="60"/>
      <c r="J6" s="94">
        <v>995921332</v>
      </c>
      <c r="K6" s="60"/>
      <c r="L6" s="94">
        <v>2389078850</v>
      </c>
    </row>
    <row r="7" spans="1:24" ht="15" thickBot="1" x14ac:dyDescent="0.35">
      <c r="B7" s="83" t="s">
        <v>7</v>
      </c>
      <c r="F7" s="95">
        <f>SUM(H7:L7)</f>
        <v>3641496357</v>
      </c>
      <c r="H7" s="95">
        <f>+H5-H6</f>
        <v>3692804357</v>
      </c>
      <c r="I7" s="94"/>
      <c r="J7" s="95">
        <f>+J5-J6</f>
        <v>76160325</v>
      </c>
      <c r="K7" s="94"/>
      <c r="L7" s="95">
        <f>+L5-L6</f>
        <v>-127468325</v>
      </c>
    </row>
    <row r="8" spans="1:24" ht="15" thickTop="1" x14ac:dyDescent="0.3">
      <c r="B8" s="83" t="s">
        <v>8</v>
      </c>
      <c r="F8" s="96">
        <f>F6/F5</f>
        <v>0.9230170256234187</v>
      </c>
      <c r="H8" s="96" t="s">
        <v>9</v>
      </c>
      <c r="I8" s="97"/>
      <c r="J8" s="96" t="s">
        <v>9</v>
      </c>
      <c r="K8" s="97"/>
      <c r="L8" s="96" t="s">
        <v>9</v>
      </c>
    </row>
    <row r="10" spans="1:24" ht="15" thickBot="1" x14ac:dyDescent="0.35">
      <c r="B10" s="83" t="s">
        <v>264</v>
      </c>
      <c r="C10" s="83"/>
      <c r="F10" s="98">
        <f>SUM(H10:L10)</f>
        <v>570907066</v>
      </c>
      <c r="H10" s="98">
        <v>424437299</v>
      </c>
      <c r="J10" s="98">
        <v>121009053</v>
      </c>
      <c r="L10" s="98">
        <v>25460714</v>
      </c>
    </row>
    <row r="11" spans="1:24" ht="15" thickTop="1" x14ac:dyDescent="0.3">
      <c r="F11" s="94"/>
      <c r="H11" s="94"/>
      <c r="J11" s="94"/>
      <c r="L11" s="94"/>
      <c r="P11" s="99"/>
    </row>
    <row r="12" spans="1:24" x14ac:dyDescent="0.3">
      <c r="B12" s="83" t="s">
        <v>133</v>
      </c>
    </row>
    <row r="13" spans="1:24" x14ac:dyDescent="0.3">
      <c r="C13" s="69" t="s">
        <v>10</v>
      </c>
      <c r="F13" s="94">
        <f>SUM(H13:L13)</f>
        <v>371386908</v>
      </c>
      <c r="H13" s="94">
        <v>293839566</v>
      </c>
      <c r="J13" s="94">
        <v>25973550</v>
      </c>
      <c r="L13" s="94">
        <v>51573792</v>
      </c>
    </row>
    <row r="14" spans="1:24" x14ac:dyDescent="0.3">
      <c r="C14" s="69" t="s">
        <v>11</v>
      </c>
      <c r="F14" s="94">
        <f>SUM(H14:L14)</f>
        <v>0</v>
      </c>
      <c r="H14" s="94">
        <v>0</v>
      </c>
      <c r="J14" s="94">
        <v>0</v>
      </c>
      <c r="L14" s="94">
        <v>0</v>
      </c>
    </row>
    <row r="15" spans="1:24" x14ac:dyDescent="0.3">
      <c r="C15" s="69" t="s">
        <v>12</v>
      </c>
      <c r="F15" s="94">
        <f>SUM(H15:L15)</f>
        <v>2192872880</v>
      </c>
      <c r="H15" s="94">
        <v>2025305534</v>
      </c>
      <c r="J15" s="94">
        <v>51545317</v>
      </c>
      <c r="L15" s="94">
        <v>116022029</v>
      </c>
    </row>
    <row r="16" spans="1:24" ht="15" thickBot="1" x14ac:dyDescent="0.35">
      <c r="C16" s="69" t="s">
        <v>13</v>
      </c>
      <c r="F16" s="95">
        <f>SUM(H16:L16)</f>
        <v>2564259788</v>
      </c>
      <c r="H16" s="95">
        <f>SUM(H13:H15)</f>
        <v>2319145100</v>
      </c>
      <c r="J16" s="95">
        <f>SUM(J13:J15)</f>
        <v>77518867</v>
      </c>
      <c r="L16" s="95">
        <f>SUM(L13:L15)</f>
        <v>167595821</v>
      </c>
    </row>
    <row r="17" spans="1:24" ht="15" thickTop="1" x14ac:dyDescent="0.3">
      <c r="F17" s="94"/>
      <c r="H17" s="94"/>
      <c r="J17" s="94"/>
      <c r="L17" s="94"/>
    </row>
    <row r="18" spans="1:24" x14ac:dyDescent="0.3">
      <c r="B18" s="83" t="s">
        <v>47</v>
      </c>
    </row>
    <row r="19" spans="1:24" x14ac:dyDescent="0.3">
      <c r="C19" s="69" t="s">
        <v>10</v>
      </c>
      <c r="F19" s="94">
        <f>SUM(H19:L19)</f>
        <v>2300631</v>
      </c>
      <c r="H19" s="94">
        <v>2294004</v>
      </c>
      <c r="J19" s="94">
        <v>6627</v>
      </c>
      <c r="L19" s="94">
        <v>0</v>
      </c>
    </row>
    <row r="20" spans="1:24" x14ac:dyDescent="0.3">
      <c r="C20" s="69" t="s">
        <v>11</v>
      </c>
      <c r="F20" s="94">
        <f>SUM(H20:L20)</f>
        <v>18903742</v>
      </c>
      <c r="H20" s="94">
        <v>51634</v>
      </c>
      <c r="J20" s="94">
        <v>4474980</v>
      </c>
      <c r="L20" s="94">
        <v>14377128</v>
      </c>
    </row>
    <row r="21" spans="1:24" x14ac:dyDescent="0.3">
      <c r="C21" s="69" t="s">
        <v>12</v>
      </c>
      <c r="F21" s="94">
        <f>SUM(H21:L21)</f>
        <v>2141697823</v>
      </c>
      <c r="H21" s="94">
        <v>1979120915</v>
      </c>
      <c r="J21" s="94">
        <v>47624115</v>
      </c>
      <c r="L21" s="94">
        <v>114952793</v>
      </c>
      <c r="N21" s="83" t="s">
        <v>14</v>
      </c>
      <c r="P21" s="100" t="s">
        <v>15</v>
      </c>
      <c r="Q21" s="83"/>
      <c r="R21" s="286" t="s">
        <v>16</v>
      </c>
      <c r="S21" s="286"/>
      <c r="T21" s="286"/>
      <c r="U21" s="286"/>
      <c r="V21" s="286"/>
      <c r="W21" s="83"/>
    </row>
    <row r="22" spans="1:24" ht="15" thickBot="1" x14ac:dyDescent="0.35">
      <c r="C22" s="69" t="s">
        <v>13</v>
      </c>
      <c r="F22" s="95">
        <f>SUM(H22:L22)</f>
        <v>2162902196</v>
      </c>
      <c r="H22" s="95">
        <f>SUM(H19:H21)</f>
        <v>1981466553</v>
      </c>
      <c r="J22" s="95">
        <f>SUM(J19:J21)</f>
        <v>52105722</v>
      </c>
      <c r="L22" s="95">
        <f>SUM(L19:L21)</f>
        <v>129329921</v>
      </c>
      <c r="N22" s="100" t="s">
        <v>17</v>
      </c>
      <c r="P22" s="100" t="s">
        <v>18</v>
      </c>
      <c r="Q22" s="100"/>
      <c r="R22" s="100"/>
      <c r="S22" s="100"/>
      <c r="T22" s="100" t="s">
        <v>19</v>
      </c>
      <c r="U22" s="100"/>
      <c r="V22" s="100" t="s">
        <v>20</v>
      </c>
      <c r="W22" s="100"/>
    </row>
    <row r="23" spans="1:24" ht="15" thickTop="1" x14ac:dyDescent="0.3">
      <c r="N23" s="244" t="s">
        <v>21</v>
      </c>
      <c r="P23" s="244" t="s">
        <v>13</v>
      </c>
      <c r="R23" s="244" t="s">
        <v>22</v>
      </c>
      <c r="T23" s="244" t="s">
        <v>23</v>
      </c>
      <c r="V23" s="244" t="s">
        <v>24</v>
      </c>
      <c r="X23" s="244" t="s">
        <v>25</v>
      </c>
    </row>
    <row r="24" spans="1:24" ht="15" thickBot="1" x14ac:dyDescent="0.35">
      <c r="A24" s="83" t="s">
        <v>310</v>
      </c>
      <c r="F24" s="94">
        <f>SUM(H24:L24)</f>
        <v>0</v>
      </c>
      <c r="G24" s="94"/>
      <c r="H24" s="272"/>
      <c r="I24" s="273"/>
      <c r="J24" s="272"/>
      <c r="K24" s="273"/>
      <c r="L24" s="272"/>
      <c r="N24" s="101">
        <f>SUM(H24:L24)</f>
        <v>0</v>
      </c>
      <c r="P24" s="84">
        <f>SUM(R24:V24)</f>
        <v>0</v>
      </c>
      <c r="R24" s="210"/>
      <c r="S24" s="94"/>
      <c r="T24" s="210"/>
      <c r="U24" s="94"/>
      <c r="V24" s="210"/>
      <c r="X24" s="101">
        <f>N24-P24</f>
        <v>0</v>
      </c>
    </row>
    <row r="25" spans="1:24" ht="15" thickTop="1" x14ac:dyDescent="0.3">
      <c r="C25" s="69" t="s">
        <v>26</v>
      </c>
    </row>
    <row r="26" spans="1:24" x14ac:dyDescent="0.3">
      <c r="A26" s="83" t="s">
        <v>311</v>
      </c>
      <c r="B26" s="83"/>
      <c r="C26" s="83"/>
      <c r="D26" s="83"/>
      <c r="E26" s="69" t="s">
        <v>27</v>
      </c>
      <c r="F26" s="94">
        <f>SUM(H26:L26)</f>
        <v>941328568</v>
      </c>
      <c r="H26" s="94">
        <v>883342240</v>
      </c>
      <c r="I26" s="94"/>
      <c r="J26" s="94">
        <v>13275003</v>
      </c>
      <c r="K26" s="94"/>
      <c r="L26" s="94">
        <v>44711325</v>
      </c>
      <c r="N26" s="83"/>
    </row>
    <row r="27" spans="1:24" x14ac:dyDescent="0.3">
      <c r="C27" s="69" t="s">
        <v>28</v>
      </c>
      <c r="N27" s="84"/>
    </row>
    <row r="28" spans="1:24" x14ac:dyDescent="0.3">
      <c r="B28" s="83" t="s">
        <v>29</v>
      </c>
      <c r="C28" s="83"/>
      <c r="H28" s="85">
        <f>H24/H26</f>
        <v>0</v>
      </c>
      <c r="I28" s="86"/>
      <c r="J28" s="85">
        <f>J24/J26</f>
        <v>0</v>
      </c>
      <c r="K28" s="86"/>
      <c r="L28" s="85">
        <f>L24/L26</f>
        <v>0</v>
      </c>
      <c r="N28" s="67"/>
    </row>
    <row r="29" spans="1:24" x14ac:dyDescent="0.3">
      <c r="B29" s="83" t="s">
        <v>30</v>
      </c>
      <c r="F29" s="87"/>
      <c r="H29" s="211"/>
      <c r="I29" s="86"/>
      <c r="J29" s="211"/>
      <c r="K29" s="86"/>
      <c r="L29" s="211"/>
      <c r="N29" s="67"/>
    </row>
    <row r="30" spans="1:24" ht="15" thickBot="1" x14ac:dyDescent="0.35">
      <c r="C30" s="69" t="s">
        <v>31</v>
      </c>
      <c r="F30" s="87"/>
      <c r="H30" s="88">
        <f>H28-H29</f>
        <v>0</v>
      </c>
      <c r="J30" s="88">
        <f>J28-J29</f>
        <v>0</v>
      </c>
      <c r="L30" s="88">
        <f>L28-L29</f>
        <v>0</v>
      </c>
      <c r="N30" s="67"/>
    </row>
    <row r="31" spans="1:24" ht="21.6" thickTop="1" x14ac:dyDescent="0.4">
      <c r="F31" s="285" t="str">
        <f>+F1</f>
        <v>IPERS June 30, 2024 Collective Pension Amounts</v>
      </c>
      <c r="G31" s="285"/>
      <c r="H31" s="285"/>
      <c r="I31" s="285"/>
      <c r="J31" s="285"/>
      <c r="K31" s="285"/>
      <c r="L31" s="285"/>
    </row>
    <row r="32" spans="1:24" x14ac:dyDescent="0.3">
      <c r="A32" s="83" t="s">
        <v>265</v>
      </c>
    </row>
    <row r="33" spans="1:24" x14ac:dyDescent="0.3">
      <c r="B33" s="69" t="s">
        <v>32</v>
      </c>
      <c r="F33" s="94">
        <f>SUM(H33:L33)</f>
        <v>9438183241</v>
      </c>
      <c r="H33" s="94">
        <v>9062075745</v>
      </c>
      <c r="I33" s="94"/>
      <c r="J33" s="94">
        <v>220086661</v>
      </c>
      <c r="K33" s="94"/>
      <c r="L33" s="94">
        <v>156020835</v>
      </c>
      <c r="N33" s="84"/>
      <c r="X33" s="84"/>
    </row>
    <row r="34" spans="1:24" x14ac:dyDescent="0.3">
      <c r="B34" s="69" t="s">
        <v>33</v>
      </c>
      <c r="F34" s="94">
        <f>SUM(H34:L34)</f>
        <v>3641496357</v>
      </c>
      <c r="H34" s="94">
        <v>3692804357</v>
      </c>
      <c r="I34" s="94"/>
      <c r="J34" s="94">
        <v>76160325</v>
      </c>
      <c r="K34" s="94"/>
      <c r="L34" s="94">
        <v>-127468325</v>
      </c>
      <c r="N34" s="84"/>
      <c r="X34" s="84"/>
    </row>
    <row r="35" spans="1:24" x14ac:dyDescent="0.3">
      <c r="B35" s="69" t="s">
        <v>34</v>
      </c>
      <c r="F35" s="94">
        <f>SUM(H35:L35)</f>
        <v>-1212589404</v>
      </c>
      <c r="H35" s="94">
        <v>-803988668</v>
      </c>
      <c r="I35" s="94"/>
      <c r="J35" s="94">
        <v>-43479957</v>
      </c>
      <c r="K35" s="94"/>
      <c r="L35" s="94">
        <v>-365120779</v>
      </c>
      <c r="N35" s="84"/>
      <c r="X35" s="84"/>
    </row>
    <row r="37" spans="1:24" x14ac:dyDescent="0.3">
      <c r="A37" s="83" t="s">
        <v>35</v>
      </c>
    </row>
    <row r="38" spans="1:24" x14ac:dyDescent="0.3">
      <c r="B38" s="69" t="s">
        <v>32</v>
      </c>
      <c r="H38" s="84">
        <f>H28*H33</f>
        <v>0</v>
      </c>
      <c r="J38" s="102">
        <f>J28*J33</f>
        <v>0</v>
      </c>
      <c r="K38" s="97"/>
      <c r="L38" s="102">
        <f>L28*L33</f>
        <v>0</v>
      </c>
      <c r="N38" s="84">
        <f>SUM(H38:L38)</f>
        <v>0</v>
      </c>
      <c r="P38" s="84">
        <f>R38+T38+V38</f>
        <v>0</v>
      </c>
      <c r="R38" s="210"/>
      <c r="T38" s="210"/>
      <c r="V38" s="210"/>
      <c r="X38" s="103">
        <f>N38-P38</f>
        <v>0</v>
      </c>
    </row>
    <row r="39" spans="1:24" x14ac:dyDescent="0.3">
      <c r="B39" s="69" t="s">
        <v>33</v>
      </c>
      <c r="H39" s="84">
        <f>H28*H7</f>
        <v>0</v>
      </c>
      <c r="J39" s="102">
        <f>J28*J7</f>
        <v>0</v>
      </c>
      <c r="K39" s="97"/>
      <c r="L39" s="102">
        <f>L28*L7</f>
        <v>0</v>
      </c>
      <c r="N39" s="84">
        <f>SUM(H39:L39)</f>
        <v>0</v>
      </c>
      <c r="P39" s="84">
        <f>R39+T39+V39</f>
        <v>0</v>
      </c>
      <c r="R39" s="210"/>
      <c r="T39" s="210"/>
      <c r="V39" s="210"/>
      <c r="X39" s="103">
        <f>N39-P39</f>
        <v>0</v>
      </c>
    </row>
    <row r="40" spans="1:24" x14ac:dyDescent="0.3">
      <c r="B40" s="69" t="s">
        <v>34</v>
      </c>
      <c r="H40" s="84">
        <f>H28*H35</f>
        <v>0</v>
      </c>
      <c r="J40" s="102">
        <f>J28*J35</f>
        <v>0</v>
      </c>
      <c r="K40" s="97"/>
      <c r="L40" s="102">
        <f>L28*L35</f>
        <v>0</v>
      </c>
      <c r="N40" s="84">
        <f>SUM(H40:L40)</f>
        <v>0</v>
      </c>
      <c r="P40" s="84">
        <f>R40+T40+V40</f>
        <v>0</v>
      </c>
      <c r="R40" s="210"/>
      <c r="T40" s="210"/>
      <c r="V40" s="210"/>
      <c r="X40" s="103">
        <f>N40-P40</f>
        <v>0</v>
      </c>
    </row>
    <row r="41" spans="1:24" x14ac:dyDescent="0.3">
      <c r="J41" s="97"/>
      <c r="K41" s="97"/>
      <c r="L41" s="97"/>
      <c r="X41" s="84"/>
    </row>
    <row r="42" spans="1:24" x14ac:dyDescent="0.3">
      <c r="A42" s="83" t="s">
        <v>36</v>
      </c>
      <c r="J42" s="97"/>
      <c r="K42" s="97"/>
      <c r="L42" s="97"/>
      <c r="X42" s="84"/>
    </row>
    <row r="43" spans="1:24" x14ac:dyDescent="0.3">
      <c r="C43" s="69" t="s">
        <v>10</v>
      </c>
      <c r="H43" s="84">
        <f>H28*H13</f>
        <v>0</v>
      </c>
      <c r="J43" s="102">
        <f>J28*J13</f>
        <v>0</v>
      </c>
      <c r="K43" s="104"/>
      <c r="L43" s="102">
        <f>L28*L13</f>
        <v>0</v>
      </c>
      <c r="N43" s="102">
        <f>SUM(H43:L43)</f>
        <v>0</v>
      </c>
      <c r="P43" s="84">
        <f>R43+T43+V43</f>
        <v>0</v>
      </c>
      <c r="R43" s="210"/>
      <c r="T43" s="210"/>
      <c r="V43" s="210"/>
      <c r="X43" s="103">
        <f>N43-P43</f>
        <v>0</v>
      </c>
    </row>
    <row r="44" spans="1:24" x14ac:dyDescent="0.3">
      <c r="C44" s="69" t="s">
        <v>11</v>
      </c>
      <c r="H44" s="84">
        <f>H28*H14</f>
        <v>0</v>
      </c>
      <c r="J44" s="102">
        <f>J28*J14</f>
        <v>0</v>
      </c>
      <c r="K44" s="104"/>
      <c r="L44" s="102">
        <f>L28*L14</f>
        <v>0</v>
      </c>
      <c r="N44" s="102">
        <f>SUM(H44:L44)</f>
        <v>0</v>
      </c>
      <c r="P44" s="84">
        <f>R44+T44+V44</f>
        <v>0</v>
      </c>
      <c r="R44" s="210"/>
      <c r="T44" s="210"/>
      <c r="V44" s="210"/>
      <c r="X44" s="103">
        <f>N44-P44</f>
        <v>0</v>
      </c>
    </row>
    <row r="45" spans="1:24" x14ac:dyDescent="0.3">
      <c r="C45" s="69" t="s">
        <v>12</v>
      </c>
      <c r="H45" s="84">
        <f>H28*H15</f>
        <v>0</v>
      </c>
      <c r="J45" s="102">
        <f>J28*J15</f>
        <v>0</v>
      </c>
      <c r="K45" s="104"/>
      <c r="L45" s="102">
        <f>L28*L15</f>
        <v>0</v>
      </c>
      <c r="N45" s="102">
        <f>SUM(H45:L45)</f>
        <v>0</v>
      </c>
      <c r="P45" s="84">
        <f>R45+T45+V45</f>
        <v>0</v>
      </c>
      <c r="R45" s="210"/>
      <c r="T45" s="210"/>
      <c r="V45" s="210"/>
      <c r="X45" s="105">
        <f>N45-P45</f>
        <v>0</v>
      </c>
    </row>
    <row r="46" spans="1:24" ht="15" thickBot="1" x14ac:dyDescent="0.35">
      <c r="C46" s="69" t="s">
        <v>37</v>
      </c>
      <c r="H46" s="101">
        <f>SUM(H43:H45)</f>
        <v>0</v>
      </c>
      <c r="J46" s="106">
        <f>SUM(J43:J45)</f>
        <v>0</v>
      </c>
      <c r="K46" s="104"/>
      <c r="L46" s="106">
        <f>SUM(L43:L45)</f>
        <v>0</v>
      </c>
      <c r="N46" s="106">
        <f>SUM(H46:L46)</f>
        <v>0</v>
      </c>
      <c r="P46" s="84">
        <f>R46+T46+V46</f>
        <v>0</v>
      </c>
      <c r="R46" s="53">
        <f>SUM(R43:R45)</f>
        <v>0</v>
      </c>
      <c r="T46" s="53">
        <f>SUM(T43:T45)</f>
        <v>0</v>
      </c>
      <c r="V46" s="238">
        <f>SUM(V43:V45)</f>
        <v>0</v>
      </c>
      <c r="X46" s="101">
        <f>N46-P46</f>
        <v>0</v>
      </c>
    </row>
    <row r="47" spans="1:24" ht="15" thickTop="1" x14ac:dyDescent="0.3">
      <c r="J47" s="97"/>
      <c r="K47" s="97"/>
      <c r="L47" s="97"/>
      <c r="N47" s="97"/>
      <c r="X47" s="84"/>
    </row>
    <row r="48" spans="1:24" x14ac:dyDescent="0.3">
      <c r="A48" s="83" t="s">
        <v>38</v>
      </c>
      <c r="J48" s="97"/>
      <c r="K48" s="97"/>
      <c r="L48" s="97"/>
      <c r="N48" s="97"/>
      <c r="X48" s="84"/>
    </row>
    <row r="49" spans="1:24" x14ac:dyDescent="0.3">
      <c r="C49" s="69" t="s">
        <v>10</v>
      </c>
      <c r="H49" s="107">
        <f>H28*H19</f>
        <v>0</v>
      </c>
      <c r="I49" s="107"/>
      <c r="J49" s="108">
        <f>J28*J19</f>
        <v>0</v>
      </c>
      <c r="K49" s="108"/>
      <c r="L49" s="108">
        <f>L28*L19</f>
        <v>0</v>
      </c>
      <c r="N49" s="108">
        <f>SUM(H49:L49)</f>
        <v>0</v>
      </c>
      <c r="P49" s="84">
        <f>R49+T49+V49</f>
        <v>0</v>
      </c>
      <c r="R49" s="210"/>
      <c r="T49" s="210"/>
      <c r="V49" s="210"/>
      <c r="X49" s="103">
        <f>N49-P49</f>
        <v>0</v>
      </c>
    </row>
    <row r="50" spans="1:24" x14ac:dyDescent="0.3">
      <c r="C50" s="69" t="s">
        <v>11</v>
      </c>
      <c r="H50" s="107">
        <f>H28*H20</f>
        <v>0</v>
      </c>
      <c r="I50" s="107"/>
      <c r="J50" s="108">
        <f>J28*J20</f>
        <v>0</v>
      </c>
      <c r="K50" s="108"/>
      <c r="L50" s="108">
        <f>L28*L20</f>
        <v>0</v>
      </c>
      <c r="N50" s="108">
        <f>SUM(H50:L50)</f>
        <v>0</v>
      </c>
      <c r="P50" s="84">
        <f>R50+T50+V50</f>
        <v>0</v>
      </c>
      <c r="R50" s="210"/>
      <c r="T50" s="210"/>
      <c r="V50" s="210"/>
      <c r="X50" s="103">
        <f>N50-P50</f>
        <v>0</v>
      </c>
    </row>
    <row r="51" spans="1:24" x14ac:dyDescent="0.3">
      <c r="C51" s="69" t="s">
        <v>12</v>
      </c>
      <c r="H51" s="107">
        <f>H28*H21</f>
        <v>0</v>
      </c>
      <c r="I51" s="107"/>
      <c r="J51" s="108">
        <f>J28*J21</f>
        <v>0</v>
      </c>
      <c r="K51" s="108"/>
      <c r="L51" s="108">
        <f>L28*L21</f>
        <v>0</v>
      </c>
      <c r="N51" s="108">
        <f>SUM(H51:L51)</f>
        <v>0</v>
      </c>
      <c r="P51" s="84">
        <f>R51+T51+V51</f>
        <v>0</v>
      </c>
      <c r="R51" s="210"/>
      <c r="T51" s="210"/>
      <c r="V51" s="210"/>
      <c r="X51" s="103">
        <f>N51-P51</f>
        <v>0</v>
      </c>
    </row>
    <row r="52" spans="1:24" ht="15" thickBot="1" x14ac:dyDescent="0.35">
      <c r="C52" s="69" t="s">
        <v>37</v>
      </c>
      <c r="H52" s="101">
        <f>SUM(H49:H51)</f>
        <v>0</v>
      </c>
      <c r="J52" s="101">
        <f>SUM(J49:J51)</f>
        <v>0</v>
      </c>
      <c r="L52" s="101">
        <f>SUM(L49:L51)</f>
        <v>0</v>
      </c>
      <c r="N52" s="101">
        <f>SUM(H52:L52)</f>
        <v>0</v>
      </c>
      <c r="P52" s="84">
        <f>R52+T52+V52</f>
        <v>0</v>
      </c>
      <c r="R52" s="53">
        <f>SUM(R49:R51)</f>
        <v>0</v>
      </c>
      <c r="T52" s="54">
        <f>SUM(T49:T51)</f>
        <v>0</v>
      </c>
      <c r="V52" s="53">
        <f>SUM(V49:V51)</f>
        <v>0</v>
      </c>
      <c r="X52" s="101">
        <f>N52-P52</f>
        <v>0</v>
      </c>
    </row>
    <row r="53" spans="1:24" ht="15" thickTop="1" x14ac:dyDescent="0.3">
      <c r="X53" s="84"/>
    </row>
    <row r="54" spans="1:24" ht="15" thickBot="1" x14ac:dyDescent="0.35">
      <c r="A54" s="83" t="s">
        <v>39</v>
      </c>
      <c r="H54" s="101">
        <f>H28*H10</f>
        <v>0</v>
      </c>
      <c r="I54" s="84"/>
      <c r="J54" s="101">
        <f>J28*J10</f>
        <v>0</v>
      </c>
      <c r="K54" s="84"/>
      <c r="L54" s="101">
        <f>L28*L10</f>
        <v>0</v>
      </c>
      <c r="M54" s="84"/>
      <c r="N54" s="101">
        <f>SUM(H54:L54)</f>
        <v>0</v>
      </c>
      <c r="P54" s="84">
        <f>R54+T54+V54</f>
        <v>0</v>
      </c>
      <c r="R54" s="210"/>
      <c r="T54" s="210"/>
      <c r="V54" s="210"/>
      <c r="X54" s="101">
        <f>N54-P54</f>
        <v>0</v>
      </c>
    </row>
    <row r="55" spans="1:24" ht="15" thickTop="1" x14ac:dyDescent="0.3">
      <c r="C55" s="69" t="s">
        <v>40</v>
      </c>
    </row>
    <row r="57" spans="1:24" x14ac:dyDescent="0.3">
      <c r="A57" s="83" t="s">
        <v>41</v>
      </c>
      <c r="E57" s="276">
        <v>5.36</v>
      </c>
      <c r="F57" s="69" t="s">
        <v>42</v>
      </c>
    </row>
    <row r="58" spans="1:24" x14ac:dyDescent="0.3">
      <c r="B58" s="69" t="s">
        <v>43</v>
      </c>
    </row>
    <row r="59" spans="1:24" x14ac:dyDescent="0.3">
      <c r="A59" s="69" t="s">
        <v>27</v>
      </c>
      <c r="B59" s="69" t="s">
        <v>44</v>
      </c>
    </row>
    <row r="61" spans="1:24" x14ac:dyDescent="0.3">
      <c r="A61" s="93"/>
      <c r="B61" s="93"/>
      <c r="C61" s="93"/>
      <c r="D61" s="93"/>
      <c r="E61" s="93"/>
    </row>
  </sheetData>
  <mergeCells count="3">
    <mergeCell ref="F1:L1"/>
    <mergeCell ref="F31:L31"/>
    <mergeCell ref="R21:V21"/>
  </mergeCells>
  <pageMargins left="0.7" right="0.7" top="0.75" bottom="0.75" header="0.3" footer="0.3"/>
  <pageSetup scale="56" orientation="landscape" r:id="rId1"/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0"/>
  <sheetViews>
    <sheetView topLeftCell="A21" workbookViewId="0">
      <selection activeCell="A35" sqref="A35"/>
    </sheetView>
  </sheetViews>
  <sheetFormatPr defaultRowHeight="14.4" x14ac:dyDescent="0.3"/>
  <cols>
    <col min="1" max="1" width="4.109375" customWidth="1"/>
    <col min="2" max="2" width="33" customWidth="1"/>
    <col min="6" max="6" width="14.109375" customWidth="1"/>
    <col min="7" max="7" width="4.88671875" customWidth="1"/>
    <col min="8" max="8" width="13" customWidth="1"/>
    <col min="11" max="11" width="3" customWidth="1"/>
    <col min="12" max="13" width="10.109375" customWidth="1"/>
    <col min="15" max="15" width="4.6640625" customWidth="1"/>
  </cols>
  <sheetData>
    <row r="1" spans="1:16" x14ac:dyDescent="0.3">
      <c r="A1" s="60"/>
      <c r="B1" s="60"/>
      <c r="C1" s="60"/>
      <c r="D1" s="60"/>
      <c r="E1" s="60"/>
      <c r="F1" s="294" t="s">
        <v>162</v>
      </c>
      <c r="G1" s="294"/>
      <c r="H1" s="294"/>
      <c r="I1" s="60"/>
      <c r="J1" s="294" t="s">
        <v>200</v>
      </c>
      <c r="K1" s="294"/>
      <c r="L1" s="294"/>
      <c r="M1" s="43"/>
      <c r="N1" s="294" t="s">
        <v>201</v>
      </c>
      <c r="O1" s="294"/>
      <c r="P1" s="294"/>
    </row>
    <row r="2" spans="1:16" ht="15" thickBot="1" x14ac:dyDescent="0.35">
      <c r="A2" s="60"/>
      <c r="B2" s="60"/>
      <c r="C2" s="60"/>
      <c r="D2" s="60"/>
      <c r="E2" s="60"/>
      <c r="F2" s="10" t="s">
        <v>120</v>
      </c>
      <c r="G2" s="11"/>
      <c r="H2" s="10" t="s">
        <v>121</v>
      </c>
      <c r="I2" s="60"/>
      <c r="J2" s="10" t="s">
        <v>120</v>
      </c>
      <c r="K2" s="11"/>
      <c r="L2" s="10" t="s">
        <v>121</v>
      </c>
      <c r="M2" s="43"/>
      <c r="N2" s="10" t="s">
        <v>120</v>
      </c>
      <c r="O2" s="11"/>
      <c r="P2" s="10" t="s">
        <v>121</v>
      </c>
    </row>
    <row r="3" spans="1:16" ht="15" thickTop="1" x14ac:dyDescent="0.3">
      <c r="A3" s="60" t="s">
        <v>79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43"/>
      <c r="N3" s="60"/>
      <c r="O3" s="60"/>
      <c r="P3" s="60"/>
    </row>
    <row r="4" spans="1:16" x14ac:dyDescent="0.3">
      <c r="A4" s="60"/>
      <c r="B4" s="60" t="s">
        <v>122</v>
      </c>
      <c r="C4" s="60"/>
      <c r="D4" s="60"/>
      <c r="E4" s="60"/>
      <c r="F4" s="1">
        <f>+'Journal Entry Summary'!T6</f>
        <v>0</v>
      </c>
      <c r="G4" s="56"/>
      <c r="H4" s="1">
        <f>+'Journal Entry Summary'!V6</f>
        <v>0</v>
      </c>
      <c r="I4" s="60"/>
      <c r="J4" s="60"/>
      <c r="K4" s="60"/>
      <c r="L4" s="60"/>
      <c r="M4" s="43"/>
      <c r="N4" s="60"/>
      <c r="O4" s="60"/>
      <c r="P4" s="60"/>
    </row>
    <row r="5" spans="1:16" x14ac:dyDescent="0.3">
      <c r="A5" s="60"/>
      <c r="B5" s="60" t="s">
        <v>130</v>
      </c>
      <c r="C5" s="60"/>
      <c r="D5" s="60"/>
      <c r="E5" s="60"/>
      <c r="F5" s="2">
        <f>+'Journal Entry Summary'!T7</f>
        <v>0</v>
      </c>
      <c r="G5" s="56"/>
      <c r="H5" s="2">
        <f>+'Journal Entry Summary'!V7</f>
        <v>0</v>
      </c>
      <c r="I5" s="60"/>
      <c r="J5" s="60"/>
      <c r="K5" s="60"/>
      <c r="L5" s="60"/>
      <c r="M5" s="43"/>
      <c r="N5" s="60"/>
      <c r="O5" s="60"/>
      <c r="P5" s="60"/>
    </row>
    <row r="6" spans="1:16" x14ac:dyDescent="0.3">
      <c r="A6" s="60"/>
      <c r="B6" s="60" t="s">
        <v>124</v>
      </c>
      <c r="C6" s="60"/>
      <c r="D6" s="60"/>
      <c r="E6" s="60"/>
      <c r="F6" s="2">
        <f>+'Journal Entry Summary'!T8</f>
        <v>0</v>
      </c>
      <c r="G6" s="56"/>
      <c r="H6" s="2">
        <f>+'Journal Entry Summary'!V8</f>
        <v>0</v>
      </c>
      <c r="I6" s="60"/>
      <c r="J6" s="60"/>
      <c r="K6" s="60"/>
      <c r="L6" s="60"/>
      <c r="M6" s="60"/>
      <c r="N6" s="60"/>
      <c r="O6" s="60"/>
      <c r="P6" s="60"/>
    </row>
    <row r="7" spans="1:16" x14ac:dyDescent="0.3">
      <c r="A7" s="60"/>
      <c r="B7" s="60" t="s">
        <v>126</v>
      </c>
      <c r="C7" s="60"/>
      <c r="D7" s="60"/>
      <c r="E7" s="60"/>
      <c r="F7" s="2">
        <f>+'Journal Entry Summary'!T9</f>
        <v>0</v>
      </c>
      <c r="G7" s="56"/>
      <c r="H7" s="60"/>
      <c r="I7" s="60"/>
      <c r="J7" s="60"/>
      <c r="K7" s="60"/>
      <c r="L7" s="60"/>
      <c r="M7" s="60"/>
      <c r="N7" s="60"/>
      <c r="O7" s="60"/>
      <c r="P7" s="60"/>
    </row>
    <row r="8" spans="1:16" x14ac:dyDescent="0.3">
      <c r="A8" s="60" t="s">
        <v>45</v>
      </c>
      <c r="B8" s="60"/>
      <c r="C8" s="60"/>
      <c r="D8" s="60"/>
      <c r="E8" s="60"/>
      <c r="F8" s="2">
        <f>+'Journal Entry Summary'!T10</f>
        <v>0</v>
      </c>
      <c r="G8" s="56"/>
      <c r="H8" s="2">
        <f>+'Journal Entry Summary'!V10</f>
        <v>0</v>
      </c>
      <c r="I8" s="60"/>
      <c r="J8" s="60"/>
      <c r="K8" s="60"/>
      <c r="L8" s="60"/>
      <c r="M8" s="60"/>
      <c r="N8" s="60"/>
      <c r="O8" s="60"/>
      <c r="P8" s="60"/>
    </row>
    <row r="9" spans="1:16" x14ac:dyDescent="0.3">
      <c r="A9" s="60"/>
      <c r="B9" s="60" t="s">
        <v>45</v>
      </c>
      <c r="C9" s="60"/>
      <c r="D9" s="60"/>
      <c r="E9" s="60"/>
      <c r="F9" s="2">
        <f>+'Journal Entry Summary'!T11</f>
        <v>0</v>
      </c>
      <c r="G9" s="56"/>
      <c r="H9" s="2">
        <f>+'Journal Entry Summary'!V11</f>
        <v>0</v>
      </c>
      <c r="I9" s="60"/>
      <c r="J9" s="60"/>
      <c r="K9" s="60"/>
      <c r="L9" s="60"/>
      <c r="M9" s="60"/>
      <c r="N9" s="60"/>
      <c r="O9" s="60"/>
      <c r="P9" s="60"/>
    </row>
    <row r="10" spans="1:16" x14ac:dyDescent="0.3">
      <c r="A10" s="60"/>
      <c r="B10" s="60" t="s">
        <v>127</v>
      </c>
      <c r="C10" s="60"/>
      <c r="D10" s="60"/>
      <c r="E10" s="60"/>
      <c r="F10" s="2">
        <f>+'Journal Entry Summary'!T12</f>
        <v>0</v>
      </c>
      <c r="G10" s="56"/>
      <c r="H10" s="2">
        <f>+'Journal Entry Summary'!V12</f>
        <v>0</v>
      </c>
      <c r="I10" s="60"/>
      <c r="J10" s="60"/>
      <c r="K10" s="60"/>
      <c r="L10" s="60"/>
      <c r="M10" s="60"/>
      <c r="N10" s="60"/>
      <c r="O10" s="60"/>
      <c r="P10" s="60"/>
    </row>
    <row r="11" spans="1:16" x14ac:dyDescent="0.3">
      <c r="A11" s="60"/>
      <c r="B11" s="60" t="s">
        <v>128</v>
      </c>
      <c r="C11" s="60"/>
      <c r="D11" s="60"/>
      <c r="E11" s="60"/>
      <c r="F11" s="2">
        <f>+'Journal Entry Summary'!T13</f>
        <v>0</v>
      </c>
      <c r="G11" s="56"/>
      <c r="H11" s="2">
        <f>+'Journal Entry Summary'!V13</f>
        <v>0</v>
      </c>
      <c r="I11" s="60"/>
      <c r="J11" s="60"/>
      <c r="K11" s="60"/>
      <c r="L11" s="60"/>
      <c r="M11" s="60"/>
      <c r="N11" s="60"/>
      <c r="O11" s="60"/>
      <c r="P11" s="60"/>
    </row>
    <row r="12" spans="1:16" x14ac:dyDescent="0.3">
      <c r="A12" s="60" t="s">
        <v>86</v>
      </c>
      <c r="B12" s="60"/>
      <c r="C12" s="60"/>
      <c r="D12" s="60"/>
      <c r="E12" s="60"/>
      <c r="F12" s="2">
        <f>+'Journal Entry Summary'!T14</f>
        <v>0</v>
      </c>
      <c r="G12" s="56"/>
      <c r="H12" s="2">
        <f>+'Journal Entry Summary'!V14</f>
        <v>0</v>
      </c>
      <c r="I12" s="60"/>
      <c r="J12" s="60"/>
      <c r="K12" s="60"/>
      <c r="L12" s="60"/>
      <c r="M12" s="60"/>
      <c r="N12" s="60"/>
      <c r="O12" s="60"/>
      <c r="P12" s="60"/>
    </row>
    <row r="13" spans="1:16" x14ac:dyDescent="0.3">
      <c r="A13" s="60"/>
      <c r="B13" s="60" t="s">
        <v>122</v>
      </c>
      <c r="C13" s="60"/>
      <c r="D13" s="60"/>
      <c r="E13" s="60"/>
      <c r="F13" s="2">
        <f>+'Journal Entry Summary'!T15</f>
        <v>0</v>
      </c>
      <c r="G13" s="56"/>
      <c r="H13" s="2">
        <f>+'Journal Entry Summary'!V15</f>
        <v>0</v>
      </c>
      <c r="I13" s="60"/>
      <c r="J13" s="60"/>
      <c r="K13" s="60"/>
      <c r="L13" s="60"/>
      <c r="M13" s="60"/>
      <c r="N13" s="60"/>
      <c r="O13" s="60"/>
      <c r="P13" s="60"/>
    </row>
    <row r="14" spans="1:16" x14ac:dyDescent="0.3">
      <c r="A14" s="60"/>
      <c r="B14" s="60" t="s">
        <v>130</v>
      </c>
      <c r="C14" s="60"/>
      <c r="D14" s="60"/>
      <c r="E14" s="60"/>
      <c r="F14" s="2">
        <f>+'Journal Entry Summary'!T16</f>
        <v>0</v>
      </c>
      <c r="G14" s="56"/>
      <c r="H14" s="2">
        <f>+'Journal Entry Summary'!V16</f>
        <v>0</v>
      </c>
      <c r="I14" s="60"/>
      <c r="J14" s="60"/>
      <c r="K14" s="60"/>
      <c r="L14" s="60"/>
      <c r="M14" s="60"/>
      <c r="N14" s="60"/>
      <c r="O14" s="60"/>
      <c r="P14" s="60"/>
    </row>
    <row r="15" spans="1:16" x14ac:dyDescent="0.3">
      <c r="A15" s="60"/>
      <c r="B15" s="60" t="s">
        <v>182</v>
      </c>
      <c r="C15" s="60"/>
      <c r="D15" s="60"/>
      <c r="E15" s="60"/>
      <c r="F15" s="2">
        <f>+'Journal Entry Summary'!T17</f>
        <v>0</v>
      </c>
      <c r="G15" s="56"/>
      <c r="H15" s="2">
        <f>+'Journal Entry Summary'!V17</f>
        <v>0</v>
      </c>
      <c r="I15" s="60"/>
      <c r="J15" s="60"/>
      <c r="K15" s="60"/>
      <c r="L15" s="60"/>
      <c r="M15" s="60"/>
      <c r="N15" s="60"/>
      <c r="O15" s="60"/>
      <c r="P15" s="60"/>
    </row>
    <row r="16" spans="1:16" s="60" customFormat="1" x14ac:dyDescent="0.3">
      <c r="B16" s="60" t="s">
        <v>132</v>
      </c>
      <c r="F16" s="2"/>
      <c r="G16" s="56"/>
      <c r="H16" s="2">
        <f>+'Journal Entry Summary'!V18</f>
        <v>0</v>
      </c>
    </row>
    <row r="17" spans="1:8" x14ac:dyDescent="0.3">
      <c r="A17" s="60"/>
      <c r="B17" s="60" t="s">
        <v>133</v>
      </c>
      <c r="C17" s="60"/>
      <c r="D17" s="60"/>
      <c r="E17" s="60"/>
      <c r="F17" s="2">
        <f>+'Journal Entry Summary'!T19</f>
        <v>0</v>
      </c>
      <c r="G17" s="56"/>
      <c r="H17" s="2">
        <f>+'Journal Entry Summary'!V19</f>
        <v>0</v>
      </c>
    </row>
    <row r="18" spans="1:8" x14ac:dyDescent="0.3">
      <c r="A18" s="60"/>
      <c r="B18" s="62" t="str">
        <f>+Regular!B128</f>
        <v xml:space="preserve"> - Entity contributions from 7/01/2023 through 6/30/2024</v>
      </c>
      <c r="C18" s="62"/>
      <c r="D18" s="62"/>
      <c r="E18" s="62"/>
      <c r="F18" s="2">
        <f>+'Journal Entry Summary'!T20</f>
        <v>0</v>
      </c>
      <c r="G18" s="56"/>
      <c r="H18" s="2">
        <f>+'Journal Entry Summary'!V20</f>
        <v>0</v>
      </c>
    </row>
    <row r="19" spans="1:8" x14ac:dyDescent="0.3">
      <c r="A19" s="60" t="s">
        <v>7</v>
      </c>
      <c r="B19" s="60"/>
      <c r="C19" s="60"/>
      <c r="D19" s="60"/>
      <c r="E19" s="60"/>
      <c r="F19" s="2">
        <f>+'Journal Entry Summary'!T21</f>
        <v>0</v>
      </c>
      <c r="G19" s="56"/>
      <c r="H19" s="2">
        <f>+'Journal Entry Summary'!V21</f>
        <v>0</v>
      </c>
    </row>
    <row r="20" spans="1:8" x14ac:dyDescent="0.3">
      <c r="A20" s="60"/>
      <c r="B20" s="60"/>
      <c r="C20" s="60"/>
      <c r="D20" s="60"/>
      <c r="E20" s="60"/>
      <c r="F20" s="2">
        <f>+'Journal Entry Summary'!T22</f>
        <v>0</v>
      </c>
      <c r="G20" s="56"/>
      <c r="H20" s="2">
        <f>+'Journal Entry Summary'!V22</f>
        <v>0</v>
      </c>
    </row>
    <row r="21" spans="1:8" x14ac:dyDescent="0.3">
      <c r="A21" s="60" t="s">
        <v>202</v>
      </c>
      <c r="B21" s="60"/>
      <c r="C21" s="60"/>
      <c r="D21" s="60"/>
      <c r="E21" s="60"/>
      <c r="F21" s="2">
        <f>+'Journal Entry Summary'!T23</f>
        <v>0</v>
      </c>
      <c r="G21" s="56"/>
      <c r="H21" s="2">
        <f>+'Journal Entry Summary'!V23</f>
        <v>0</v>
      </c>
    </row>
    <row r="22" spans="1:8" x14ac:dyDescent="0.3">
      <c r="A22" s="60"/>
      <c r="B22" s="60" t="s">
        <v>184</v>
      </c>
      <c r="C22" s="60"/>
      <c r="D22" s="60"/>
      <c r="E22" s="60"/>
      <c r="F22" s="2">
        <f>+'Journal Entry Summary'!T24</f>
        <v>0</v>
      </c>
      <c r="G22" s="56"/>
      <c r="H22" s="2">
        <f>+'Journal Entry Summary'!V24</f>
        <v>0</v>
      </c>
    </row>
    <row r="23" spans="1:8" x14ac:dyDescent="0.3">
      <c r="A23" s="60"/>
      <c r="B23" s="60"/>
      <c r="C23" s="60"/>
      <c r="D23" s="60"/>
      <c r="E23" s="60"/>
      <c r="F23" s="2">
        <f>+'Journal Entry Summary'!T25</f>
        <v>0</v>
      </c>
      <c r="G23" s="56"/>
      <c r="H23" s="2">
        <f>+'Journal Entry Summary'!V25</f>
        <v>0</v>
      </c>
    </row>
    <row r="24" spans="1:8" x14ac:dyDescent="0.3">
      <c r="A24" s="60"/>
      <c r="B24" s="60"/>
      <c r="C24" s="60"/>
      <c r="D24" s="60"/>
      <c r="E24" s="60"/>
      <c r="F24" s="9"/>
      <c r="G24" s="60"/>
      <c r="H24" s="9"/>
    </row>
    <row r="25" spans="1:8" ht="15" thickBot="1" x14ac:dyDescent="0.35">
      <c r="A25" s="60"/>
      <c r="B25" s="60"/>
      <c r="C25" s="60"/>
      <c r="D25" s="60"/>
      <c r="E25" s="60" t="s">
        <v>13</v>
      </c>
      <c r="F25" s="78">
        <f>SUM(F4:F24)</f>
        <v>0</v>
      </c>
      <c r="G25" s="60"/>
      <c r="H25" s="78">
        <f>SUM(H4:H24)</f>
        <v>0</v>
      </c>
    </row>
    <row r="26" spans="1:8" ht="15" thickTop="1" x14ac:dyDescent="0.3">
      <c r="A26" s="60"/>
      <c r="B26" s="60"/>
      <c r="C26" s="60"/>
      <c r="D26" s="60"/>
      <c r="E26" s="60"/>
      <c r="F26" s="60"/>
      <c r="G26" s="60"/>
      <c r="H26" s="60"/>
    </row>
    <row r="29" spans="1:8" x14ac:dyDescent="0.3">
      <c r="A29" s="60"/>
      <c r="B29" s="62" t="str">
        <f>+'Journal Entry Summary'!B31</f>
        <v>To record pension accrual amounts for the year ended June 30, 2025</v>
      </c>
      <c r="C29" s="62"/>
      <c r="D29" s="62"/>
      <c r="E29" s="62"/>
      <c r="F29" s="62"/>
      <c r="G29" s="60"/>
      <c r="H29" s="60"/>
    </row>
    <row r="30" spans="1:8" x14ac:dyDescent="0.3">
      <c r="A30" s="60"/>
      <c r="B30" s="62" t="str">
        <f>+'Journal Entry Summary'!B32</f>
        <v>based on the June 30, 2024 measurement date.</v>
      </c>
      <c r="C30" s="62"/>
      <c r="D30" s="62"/>
      <c r="E30" s="62"/>
      <c r="F30" s="62"/>
      <c r="G30" s="60"/>
      <c r="H30" s="60"/>
    </row>
    <row r="31" spans="1:8" s="62" customFormat="1" x14ac:dyDescent="0.3"/>
    <row r="32" spans="1:8" x14ac:dyDescent="0.3">
      <c r="A32" s="60" t="str">
        <f>+'Journal Entry Summary'!A34</f>
        <v>(1)  To record amortization of prior year deferred inflows for</v>
      </c>
      <c r="B32" s="62"/>
      <c r="C32" s="62"/>
      <c r="D32" s="62"/>
      <c r="E32" s="62"/>
      <c r="F32" s="62"/>
      <c r="G32" s="60"/>
      <c r="H32" s="60"/>
    </row>
    <row r="33" spans="1:6" x14ac:dyDescent="0.3">
      <c r="A33" s="60"/>
      <c r="B33" s="62" t="str">
        <f>+'Journal Entry Summary'!B35</f>
        <v>the year ended June 30, 2025</v>
      </c>
      <c r="C33" s="62"/>
      <c r="D33" s="62"/>
      <c r="E33" s="62"/>
      <c r="F33" s="62"/>
    </row>
    <row r="34" spans="1:6" s="62" customFormat="1" x14ac:dyDescent="0.3"/>
    <row r="35" spans="1:6" x14ac:dyDescent="0.3">
      <c r="A35" s="181" t="str">
        <f>+'Journal Entry Summary'!A37</f>
        <v>Journal Entry to record deferred outflow at June 30, 2025:</v>
      </c>
      <c r="B35" s="62"/>
      <c r="C35" s="62"/>
      <c r="D35" s="62"/>
      <c r="E35" s="62"/>
    </row>
    <row r="36" spans="1:6" x14ac:dyDescent="0.3">
      <c r="A36" s="62"/>
      <c r="B36" s="62"/>
      <c r="C36" s="60"/>
    </row>
    <row r="37" spans="1:6" x14ac:dyDescent="0.3">
      <c r="A37" s="62"/>
      <c r="B37" s="62" t="s">
        <v>190</v>
      </c>
      <c r="C37" s="60"/>
    </row>
    <row r="38" spans="1:6" x14ac:dyDescent="0.3">
      <c r="A38" s="62"/>
      <c r="B38" s="62"/>
      <c r="C38" s="60"/>
    </row>
    <row r="39" spans="1:6" x14ac:dyDescent="0.3">
      <c r="A39" s="62"/>
      <c r="B39" s="62" t="s">
        <v>192</v>
      </c>
      <c r="C39" s="23" t="s">
        <v>193</v>
      </c>
    </row>
    <row r="40" spans="1:6" x14ac:dyDescent="0.3">
      <c r="A40" s="62"/>
      <c r="B40" s="62" t="s">
        <v>194</v>
      </c>
      <c r="C40" s="23" t="s">
        <v>193</v>
      </c>
    </row>
    <row r="41" spans="1:6" x14ac:dyDescent="0.3">
      <c r="A41" s="62"/>
      <c r="B41" s="62" t="s">
        <v>195</v>
      </c>
      <c r="C41" s="23" t="s">
        <v>193</v>
      </c>
    </row>
    <row r="42" spans="1:6" x14ac:dyDescent="0.3">
      <c r="A42" s="62"/>
      <c r="B42" s="62" t="s">
        <v>196</v>
      </c>
      <c r="C42" s="23" t="s">
        <v>193</v>
      </c>
    </row>
    <row r="43" spans="1:6" x14ac:dyDescent="0.3">
      <c r="A43" s="62"/>
      <c r="B43" s="62" t="s">
        <v>197</v>
      </c>
      <c r="C43" s="23" t="s">
        <v>193</v>
      </c>
    </row>
    <row r="44" spans="1:6" x14ac:dyDescent="0.3">
      <c r="A44" s="62"/>
      <c r="B44" s="62" t="s">
        <v>198</v>
      </c>
      <c r="C44" s="23" t="s">
        <v>193</v>
      </c>
    </row>
    <row r="45" spans="1:6" x14ac:dyDescent="0.3">
      <c r="A45" s="62"/>
      <c r="B45" s="62" t="s">
        <v>199</v>
      </c>
      <c r="C45" s="23" t="s">
        <v>193</v>
      </c>
    </row>
    <row r="46" spans="1:6" x14ac:dyDescent="0.3">
      <c r="A46" s="62"/>
      <c r="B46" s="62"/>
      <c r="C46" s="60"/>
    </row>
    <row r="47" spans="1:6" x14ac:dyDescent="0.3">
      <c r="A47" s="62"/>
      <c r="B47" s="62"/>
      <c r="C47" s="60"/>
    </row>
    <row r="48" spans="1:6" x14ac:dyDescent="0.3">
      <c r="A48" s="62"/>
      <c r="B48" s="62" t="str">
        <f>+'Journal Entry Summary'!B50</f>
        <v>To record employer contributions from July 1, 2024</v>
      </c>
      <c r="C48" s="62"/>
      <c r="D48" s="62"/>
    </row>
    <row r="49" spans="1:4" x14ac:dyDescent="0.3">
      <c r="A49" s="62"/>
      <c r="B49" s="62" t="str">
        <f>+'Journal Entry Summary'!B51</f>
        <v>through June 30, 2025 as deferred outflows.</v>
      </c>
      <c r="C49" s="62"/>
      <c r="D49" s="62"/>
    </row>
    <row r="50" spans="1:4" x14ac:dyDescent="0.3">
      <c r="A50" s="62"/>
      <c r="B50" s="62"/>
    </row>
  </sheetData>
  <mergeCells count="3">
    <mergeCell ref="F1:H1"/>
    <mergeCell ref="J1:L1"/>
    <mergeCell ref="N1:P1"/>
  </mergeCells>
  <pageMargins left="0.7" right="0.7" top="0.75" bottom="0.75" header="0.3" footer="0.3"/>
  <pageSetup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O15"/>
  <sheetViews>
    <sheetView workbookViewId="0">
      <selection activeCell="D6" sqref="D6"/>
    </sheetView>
  </sheetViews>
  <sheetFormatPr defaultColWidth="8.88671875" defaultRowHeight="14.4" x14ac:dyDescent="0.3"/>
  <cols>
    <col min="1" max="1" width="11.88671875" style="62" bestFit="1" customWidth="1"/>
    <col min="2" max="2" width="3.6640625" style="62" customWidth="1"/>
    <col min="3" max="3" width="12" style="62" customWidth="1"/>
    <col min="4" max="4" width="10.109375" style="62" bestFit="1" customWidth="1"/>
    <col min="5" max="5" width="11" style="62" bestFit="1" customWidth="1"/>
    <col min="6" max="6" width="12.5546875" style="62" bestFit="1" customWidth="1"/>
    <col min="7" max="7" width="3.6640625" style="62" customWidth="1"/>
    <col min="8" max="8" width="12.33203125" style="62" bestFit="1" customWidth="1"/>
    <col min="9" max="9" width="12" style="62" bestFit="1" customWidth="1"/>
    <col min="10" max="10" width="11" style="62" bestFit="1" customWidth="1"/>
    <col min="11" max="11" width="12.33203125" style="62" bestFit="1" customWidth="1"/>
    <col min="12" max="12" width="3.6640625" style="62" customWidth="1"/>
    <col min="13" max="13" width="12.33203125" style="62" bestFit="1" customWidth="1"/>
    <col min="14" max="14" width="14.44140625" style="62" bestFit="1" customWidth="1"/>
    <col min="15" max="15" width="11.88671875" style="62" bestFit="1" customWidth="1"/>
    <col min="16" max="16384" width="8.88671875" style="62"/>
  </cols>
  <sheetData>
    <row r="2" spans="1:15" x14ac:dyDescent="0.3">
      <c r="N2" s="236"/>
    </row>
    <row r="3" spans="1:15" x14ac:dyDescent="0.3">
      <c r="C3" s="291" t="s">
        <v>46</v>
      </c>
      <c r="D3" s="291"/>
      <c r="E3" s="291"/>
      <c r="F3" s="291"/>
      <c r="H3" s="291" t="s">
        <v>47</v>
      </c>
      <c r="I3" s="291"/>
      <c r="J3" s="291"/>
      <c r="K3" s="291"/>
      <c r="M3" s="51" t="s">
        <v>203</v>
      </c>
      <c r="N3" s="14"/>
      <c r="O3" s="14" t="s">
        <v>277</v>
      </c>
    </row>
    <row r="4" spans="1:15" x14ac:dyDescent="0.3">
      <c r="C4" s="51"/>
      <c r="D4" s="51" t="s">
        <v>204</v>
      </c>
      <c r="E4" s="51" t="s">
        <v>20</v>
      </c>
      <c r="F4" s="51"/>
      <c r="H4" s="51"/>
      <c r="I4" s="51" t="s">
        <v>204</v>
      </c>
      <c r="J4" s="51" t="s">
        <v>20</v>
      </c>
      <c r="K4" s="51"/>
      <c r="M4" s="51" t="s">
        <v>205</v>
      </c>
      <c r="N4" s="14" t="s">
        <v>262</v>
      </c>
      <c r="O4" s="14" t="s">
        <v>278</v>
      </c>
    </row>
    <row r="5" spans="1:15" x14ac:dyDescent="0.3">
      <c r="C5" s="247" t="s">
        <v>22</v>
      </c>
      <c r="D5" s="247" t="s">
        <v>23</v>
      </c>
      <c r="E5" s="247" t="s">
        <v>24</v>
      </c>
      <c r="F5" s="247" t="s">
        <v>162</v>
      </c>
      <c r="H5" s="247" t="s">
        <v>22</v>
      </c>
      <c r="I5" s="247" t="s">
        <v>23</v>
      </c>
      <c r="J5" s="247" t="s">
        <v>24</v>
      </c>
      <c r="K5" s="247" t="s">
        <v>162</v>
      </c>
      <c r="M5" s="247" t="s">
        <v>206</v>
      </c>
      <c r="N5" s="265" t="s">
        <v>263</v>
      </c>
      <c r="O5" s="269" t="s">
        <v>279</v>
      </c>
    </row>
    <row r="6" spans="1:15" x14ac:dyDescent="0.3">
      <c r="A6" s="62">
        <f>+'Reg - Amort'!E41</f>
        <v>2026</v>
      </c>
      <c r="C6" s="81">
        <f>'Reg - Amort'!J41</f>
        <v>0</v>
      </c>
      <c r="D6" s="81">
        <f>'S + D Amort'!J39</f>
        <v>0</v>
      </c>
      <c r="E6" s="81">
        <f>'Pro Occ Amort'!J40</f>
        <v>0</v>
      </c>
      <c r="F6" s="81">
        <f>SUM(C6:E6)</f>
        <v>0</v>
      </c>
      <c r="G6" s="81"/>
      <c r="H6" s="81">
        <f>'Reg - Amort'!O41</f>
        <v>0</v>
      </c>
      <c r="I6" s="81">
        <f>'S + D Amort'!O39</f>
        <v>0</v>
      </c>
      <c r="J6" s="81">
        <f>'Pro Occ Amort'!O40</f>
        <v>0</v>
      </c>
      <c r="K6" s="81">
        <f>SUM(H6:J6)</f>
        <v>0</v>
      </c>
      <c r="L6" s="81"/>
      <c r="M6" s="81">
        <f>ROUND(F6+K6,0)</f>
        <v>0</v>
      </c>
      <c r="N6" s="270">
        <v>0</v>
      </c>
      <c r="O6" s="25">
        <f>SUM(M6:N6)</f>
        <v>0</v>
      </c>
    </row>
    <row r="7" spans="1:15" x14ac:dyDescent="0.3">
      <c r="A7" s="62">
        <f>+'Reg - Amort'!E42</f>
        <v>2027</v>
      </c>
      <c r="C7" s="81">
        <f>'Reg - Amort'!J42</f>
        <v>0</v>
      </c>
      <c r="D7" s="81">
        <f>'S + D Amort'!J40</f>
        <v>0</v>
      </c>
      <c r="E7" s="81">
        <f>'Pro Occ Amort'!J41</f>
        <v>0</v>
      </c>
      <c r="F7" s="81">
        <f t="shared" ref="F7:F12" si="0">SUM(C7:E7)</f>
        <v>0</v>
      </c>
      <c r="G7" s="81"/>
      <c r="H7" s="81">
        <f>'Reg - Amort'!O42</f>
        <v>0</v>
      </c>
      <c r="I7" s="81">
        <f>'S + D Amort'!O40</f>
        <v>0</v>
      </c>
      <c r="J7" s="81">
        <f>'Pro Occ Amort'!O41</f>
        <v>0</v>
      </c>
      <c r="K7" s="81">
        <f t="shared" ref="K7:K12" si="1">SUM(H7:J7)</f>
        <v>0</v>
      </c>
      <c r="L7" s="81"/>
      <c r="M7" s="81">
        <f t="shared" ref="M7:M11" si="2">ROUND(F7+K7,0)</f>
        <v>0</v>
      </c>
      <c r="N7" s="270">
        <v>0</v>
      </c>
      <c r="O7" s="25">
        <f t="shared" ref="O7:O11" si="3">SUM(M7:N7)</f>
        <v>0</v>
      </c>
    </row>
    <row r="8" spans="1:15" x14ac:dyDescent="0.3">
      <c r="A8" s="62">
        <f>+'Reg - Amort'!E43</f>
        <v>2028</v>
      </c>
      <c r="C8" s="81">
        <f>'Reg - Amort'!J43</f>
        <v>0</v>
      </c>
      <c r="D8" s="81">
        <f>'S + D Amort'!J41</f>
        <v>0</v>
      </c>
      <c r="E8" s="81">
        <f>'Pro Occ Amort'!J42</f>
        <v>0</v>
      </c>
      <c r="F8" s="81">
        <f t="shared" si="0"/>
        <v>0</v>
      </c>
      <c r="G8" s="81"/>
      <c r="H8" s="81">
        <f>'Reg - Amort'!O43</f>
        <v>0</v>
      </c>
      <c r="I8" s="81">
        <f>'S + D Amort'!O41</f>
        <v>0</v>
      </c>
      <c r="J8" s="81">
        <f>'Pro Occ Amort'!O42</f>
        <v>0</v>
      </c>
      <c r="K8" s="81">
        <f t="shared" si="1"/>
        <v>0</v>
      </c>
      <c r="L8" s="81"/>
      <c r="M8" s="81">
        <f t="shared" si="2"/>
        <v>0</v>
      </c>
      <c r="N8" s="270">
        <v>0</v>
      </c>
      <c r="O8" s="25">
        <f t="shared" si="3"/>
        <v>0</v>
      </c>
    </row>
    <row r="9" spans="1:15" x14ac:dyDescent="0.3">
      <c r="A9" s="62">
        <f>+'Reg - Amort'!E44</f>
        <v>2029</v>
      </c>
      <c r="C9" s="81">
        <f>'Reg - Amort'!J44</f>
        <v>0</v>
      </c>
      <c r="D9" s="81">
        <f>'S + D Amort'!J42</f>
        <v>0</v>
      </c>
      <c r="E9" s="81">
        <f>'Pro Occ Amort'!J43</f>
        <v>0</v>
      </c>
      <c r="F9" s="81">
        <f t="shared" si="0"/>
        <v>0</v>
      </c>
      <c r="G9" s="81"/>
      <c r="H9" s="81">
        <f>'Reg - Amort'!O44</f>
        <v>0</v>
      </c>
      <c r="I9" s="81">
        <f>'S + D Amort'!O42</f>
        <v>0</v>
      </c>
      <c r="J9" s="81">
        <f>'Pro Occ Amort'!O43</f>
        <v>0</v>
      </c>
      <c r="K9" s="81">
        <f t="shared" si="1"/>
        <v>0</v>
      </c>
      <c r="L9" s="81"/>
      <c r="M9" s="81">
        <f t="shared" si="2"/>
        <v>0</v>
      </c>
      <c r="N9" s="270">
        <v>0</v>
      </c>
      <c r="O9" s="25">
        <f t="shared" si="3"/>
        <v>0</v>
      </c>
    </row>
    <row r="10" spans="1:15" x14ac:dyDescent="0.3">
      <c r="A10" s="62">
        <f>+'Reg - Amort'!E45</f>
        <v>2030</v>
      </c>
      <c r="C10" s="81">
        <f>'Reg - Amort'!J45</f>
        <v>0</v>
      </c>
      <c r="D10" s="81">
        <f>'S + D Amort'!J43</f>
        <v>0</v>
      </c>
      <c r="E10" s="81">
        <f>'Pro Occ Amort'!J44</f>
        <v>0</v>
      </c>
      <c r="F10" s="81">
        <f t="shared" si="0"/>
        <v>0</v>
      </c>
      <c r="G10" s="81"/>
      <c r="H10" s="81">
        <f>'Reg - Amort'!O45</f>
        <v>0</v>
      </c>
      <c r="I10" s="81">
        <f>'S + D Amort'!O43</f>
        <v>0</v>
      </c>
      <c r="J10" s="81">
        <f>'Pro Occ Amort'!O44</f>
        <v>0</v>
      </c>
      <c r="K10" s="81">
        <f t="shared" si="1"/>
        <v>0</v>
      </c>
      <c r="L10" s="81"/>
      <c r="M10" s="81">
        <f t="shared" si="2"/>
        <v>0</v>
      </c>
      <c r="N10" s="270">
        <f>+'Note Info'!J30</f>
        <v>0</v>
      </c>
      <c r="O10" s="25">
        <f t="shared" si="3"/>
        <v>0</v>
      </c>
    </row>
    <row r="11" spans="1:15" x14ac:dyDescent="0.3">
      <c r="A11" s="90" t="s">
        <v>163</v>
      </c>
      <c r="C11" s="81">
        <f>'Reg - Amort'!J46</f>
        <v>0</v>
      </c>
      <c r="D11" s="81">
        <f>'S + D Amort'!J44</f>
        <v>0</v>
      </c>
      <c r="E11" s="81">
        <f>'Pro Occ Amort'!J45</f>
        <v>0</v>
      </c>
      <c r="F11" s="81">
        <f t="shared" si="0"/>
        <v>0</v>
      </c>
      <c r="G11" s="81"/>
      <c r="H11" s="81">
        <f>'Reg - Amort'!O46</f>
        <v>0</v>
      </c>
      <c r="I11" s="81">
        <f>'S + D Amort'!O44</f>
        <v>0</v>
      </c>
      <c r="J11" s="81">
        <f>'Pro Occ Amort'!O45</f>
        <v>0</v>
      </c>
      <c r="K11" s="81">
        <f t="shared" si="1"/>
        <v>0</v>
      </c>
      <c r="L11" s="81"/>
      <c r="M11" s="81">
        <f t="shared" si="2"/>
        <v>0</v>
      </c>
      <c r="N11" s="270">
        <v>0</v>
      </c>
      <c r="O11" s="25">
        <f t="shared" si="3"/>
        <v>0</v>
      </c>
    </row>
    <row r="12" spans="1:15" ht="15" thickBot="1" x14ac:dyDescent="0.35">
      <c r="A12" s="62" t="s">
        <v>164</v>
      </c>
      <c r="C12" s="82">
        <f>'Reg - Amort'!J47</f>
        <v>0</v>
      </c>
      <c r="D12" s="82">
        <f>'S + D Amort'!J45</f>
        <v>0</v>
      </c>
      <c r="E12" s="82">
        <f>'Pro Occ Amort'!J46</f>
        <v>0</v>
      </c>
      <c r="F12" s="82">
        <f t="shared" si="0"/>
        <v>0</v>
      </c>
      <c r="G12" s="81"/>
      <c r="H12" s="82">
        <f>'Reg - Amort'!O47</f>
        <v>0</v>
      </c>
      <c r="I12" s="82">
        <f>'S + D Amort'!O45</f>
        <v>0</v>
      </c>
      <c r="J12" s="82">
        <f>'Pro Occ Amort'!O46</f>
        <v>0</v>
      </c>
      <c r="K12" s="82">
        <f t="shared" si="1"/>
        <v>0</v>
      </c>
      <c r="L12" s="81"/>
      <c r="M12" s="82">
        <f>SUM(M6:M11)</f>
        <v>0</v>
      </c>
      <c r="N12" s="271">
        <f>SUM(N6:N11)</f>
        <v>0</v>
      </c>
      <c r="O12" s="271">
        <f>SUM(O6:O11)</f>
        <v>0</v>
      </c>
    </row>
    <row r="13" spans="1:15" ht="15" thickTop="1" x14ac:dyDescent="0.3"/>
    <row r="14" spans="1:15" ht="15" thickBot="1" x14ac:dyDescent="0.35">
      <c r="D14" s="62" t="s">
        <v>139</v>
      </c>
      <c r="F14" s="82">
        <f>SUM(C12:E12)</f>
        <v>0</v>
      </c>
      <c r="I14" s="62" t="s">
        <v>139</v>
      </c>
      <c r="K14" s="207">
        <f>SUM(H12:J12)</f>
        <v>0</v>
      </c>
      <c r="M14" s="199">
        <f>ROUND(F14+K14,0)</f>
        <v>0</v>
      </c>
    </row>
    <row r="15" spans="1:15" ht="15" thickTop="1" x14ac:dyDescent="0.3"/>
  </sheetData>
  <mergeCells count="2">
    <mergeCell ref="C3:F3"/>
    <mergeCell ref="H3:K3"/>
  </mergeCells>
  <pageMargins left="0.7" right="0.7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0"/>
  <sheetViews>
    <sheetView workbookViewId="0">
      <selection activeCell="O21" sqref="O21"/>
    </sheetView>
  </sheetViews>
  <sheetFormatPr defaultRowHeight="14.4" x14ac:dyDescent="0.3"/>
  <cols>
    <col min="8" max="8" width="17.88671875" bestFit="1" customWidth="1"/>
    <col min="9" max="9" width="3.6640625" customWidth="1"/>
    <col min="10" max="10" width="17.88671875" bestFit="1" customWidth="1"/>
    <col min="15" max="15" width="16.5546875" customWidth="1"/>
  </cols>
  <sheetData>
    <row r="1" spans="1:16" x14ac:dyDescent="0.3">
      <c r="A1" s="6" t="s">
        <v>207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3" spans="1:16" x14ac:dyDescent="0.3">
      <c r="A3" s="60"/>
      <c r="B3" s="60"/>
      <c r="C3" s="60"/>
      <c r="D3" s="60"/>
      <c r="E3" s="60"/>
      <c r="F3" s="60"/>
      <c r="G3" s="60"/>
      <c r="H3" s="4" t="s">
        <v>79</v>
      </c>
      <c r="I3" s="60"/>
      <c r="J3" s="4" t="s">
        <v>86</v>
      </c>
      <c r="K3" s="60"/>
      <c r="L3" s="60"/>
      <c r="M3" s="60"/>
      <c r="N3" s="60"/>
      <c r="O3" s="60"/>
      <c r="P3" s="60"/>
    </row>
    <row r="4" spans="1:16" x14ac:dyDescent="0.3">
      <c r="A4" s="60"/>
      <c r="B4" s="60"/>
      <c r="C4" s="60"/>
      <c r="D4" s="60"/>
      <c r="E4" s="60"/>
      <c r="F4" s="60"/>
      <c r="G4" s="60"/>
      <c r="H4" s="75" t="s">
        <v>110</v>
      </c>
      <c r="I4" s="60"/>
      <c r="J4" s="75" t="s">
        <v>110</v>
      </c>
      <c r="K4" s="60"/>
      <c r="L4" s="60"/>
      <c r="M4" s="60"/>
      <c r="N4" s="60"/>
      <c r="O4" s="60"/>
      <c r="P4" s="60"/>
    </row>
    <row r="5" spans="1:16" x14ac:dyDescent="0.3">
      <c r="A5" s="60" t="s">
        <v>208</v>
      </c>
      <c r="B5" s="60"/>
      <c r="C5" s="60"/>
      <c r="D5" s="60"/>
      <c r="E5" s="60"/>
      <c r="F5" s="60"/>
      <c r="G5" s="60"/>
      <c r="H5" s="1">
        <f>'2024 Data'!$P$43</f>
        <v>0</v>
      </c>
      <c r="I5" s="1"/>
      <c r="J5" s="1">
        <f>'2024 Data'!P49</f>
        <v>0</v>
      </c>
      <c r="K5" s="60"/>
      <c r="L5" s="60"/>
      <c r="M5" s="60"/>
      <c r="N5" s="60"/>
      <c r="O5" s="60"/>
      <c r="P5" s="60"/>
    </row>
    <row r="6" spans="1:16" x14ac:dyDescent="0.3">
      <c r="A6" s="60"/>
      <c r="B6" s="60"/>
      <c r="C6" s="60"/>
      <c r="D6" s="60"/>
      <c r="E6" s="60"/>
      <c r="F6" s="60"/>
      <c r="G6" s="60"/>
      <c r="H6" s="1"/>
      <c r="I6" s="1"/>
      <c r="J6" s="60"/>
      <c r="K6" s="60"/>
      <c r="L6" s="60"/>
      <c r="M6" s="62"/>
      <c r="N6" s="62"/>
      <c r="O6" s="62"/>
      <c r="P6" s="60"/>
    </row>
    <row r="7" spans="1:16" x14ac:dyDescent="0.3">
      <c r="A7" s="60" t="s">
        <v>209</v>
      </c>
      <c r="B7" s="60"/>
      <c r="C7" s="60"/>
      <c r="D7" s="60"/>
      <c r="E7" s="60"/>
      <c r="F7" s="60"/>
      <c r="G7" s="60"/>
      <c r="H7" s="1">
        <f>'2024 Data'!$P$44</f>
        <v>0</v>
      </c>
      <c r="I7" s="1"/>
      <c r="J7" s="1">
        <f>'2024 Data'!P50</f>
        <v>0</v>
      </c>
      <c r="K7" s="60"/>
      <c r="L7" s="60"/>
      <c r="M7" s="60"/>
      <c r="N7" s="60"/>
      <c r="O7" s="60"/>
      <c r="P7" s="60"/>
    </row>
    <row r="8" spans="1:16" x14ac:dyDescent="0.3">
      <c r="A8" s="60"/>
      <c r="B8" s="60"/>
      <c r="C8" s="60"/>
      <c r="D8" s="60"/>
      <c r="E8" s="60"/>
      <c r="F8" s="60"/>
      <c r="G8" s="60"/>
      <c r="H8" s="1"/>
      <c r="I8" s="1"/>
      <c r="J8" s="1"/>
      <c r="K8" s="232"/>
      <c r="L8" s="60"/>
      <c r="M8" s="60"/>
      <c r="N8" s="60"/>
      <c r="O8" s="60"/>
      <c r="P8" s="60"/>
    </row>
    <row r="9" spans="1:16" x14ac:dyDescent="0.3">
      <c r="A9" s="60" t="s">
        <v>210</v>
      </c>
      <c r="B9" s="60"/>
      <c r="C9" s="60"/>
      <c r="D9" s="60"/>
      <c r="E9" s="60"/>
      <c r="F9" s="60"/>
      <c r="G9" s="60"/>
      <c r="H9" s="1">
        <f>'2024 Data'!$P$45</f>
        <v>0</v>
      </c>
      <c r="I9" s="1"/>
      <c r="J9" s="1">
        <f>'2024 Data'!P51</f>
        <v>0</v>
      </c>
      <c r="K9" s="60" t="s">
        <v>211</v>
      </c>
      <c r="L9" s="60"/>
      <c r="M9" s="60"/>
      <c r="O9" s="243">
        <f>J9-H9</f>
        <v>0</v>
      </c>
      <c r="P9" s="241" t="s">
        <v>212</v>
      </c>
    </row>
    <row r="10" spans="1:16" x14ac:dyDescent="0.3">
      <c r="A10" s="60" t="s">
        <v>213</v>
      </c>
      <c r="B10" s="60"/>
      <c r="C10" s="60"/>
      <c r="D10" s="60"/>
      <c r="E10" s="60"/>
      <c r="F10" s="60"/>
      <c r="G10" s="60"/>
      <c r="H10" s="1"/>
      <c r="I10" s="1"/>
      <c r="J10" s="1"/>
      <c r="K10" s="60" t="s">
        <v>214</v>
      </c>
      <c r="L10" s="60"/>
      <c r="M10" s="60"/>
      <c r="N10" s="60"/>
      <c r="O10" s="60"/>
      <c r="P10" s="60"/>
    </row>
    <row r="11" spans="1:16" s="60" customFormat="1" x14ac:dyDescent="0.3">
      <c r="H11" s="1"/>
      <c r="I11" s="1"/>
      <c r="J11" s="1"/>
      <c r="K11" s="60" t="s">
        <v>215</v>
      </c>
    </row>
    <row r="12" spans="1:16" x14ac:dyDescent="0.3">
      <c r="A12" s="60" t="s">
        <v>216</v>
      </c>
      <c r="B12" s="60"/>
      <c r="C12" s="60"/>
      <c r="D12" s="60"/>
      <c r="E12" s="60"/>
      <c r="F12" s="60"/>
      <c r="G12" s="60"/>
      <c r="H12" s="1">
        <f>'Reg - Amort'!$I$56</f>
        <v>0</v>
      </c>
      <c r="I12" s="1"/>
      <c r="J12" s="1">
        <f>-'Reg - Amort'!$N$56</f>
        <v>0</v>
      </c>
      <c r="K12" s="60"/>
      <c r="L12" s="60"/>
      <c r="M12" s="60"/>
      <c r="N12" s="60"/>
      <c r="O12" s="60"/>
      <c r="P12" s="60"/>
    </row>
    <row r="13" spans="1:16" x14ac:dyDescent="0.3">
      <c r="A13" s="60" t="s">
        <v>217</v>
      </c>
      <c r="B13" s="60"/>
      <c r="C13" s="60"/>
      <c r="D13" s="60"/>
      <c r="E13" s="60"/>
      <c r="F13" s="60"/>
      <c r="G13" s="60"/>
      <c r="H13" s="1"/>
      <c r="I13" s="1"/>
      <c r="J13" s="1"/>
      <c r="K13" s="60"/>
      <c r="L13" s="60"/>
      <c r="M13" s="60"/>
      <c r="N13" s="60"/>
      <c r="O13" s="60"/>
      <c r="P13" s="60"/>
    </row>
    <row r="14" spans="1:16" s="60" customFormat="1" x14ac:dyDescent="0.3">
      <c r="H14" s="1"/>
      <c r="I14" s="1"/>
      <c r="J14" s="1"/>
    </row>
    <row r="15" spans="1:16" x14ac:dyDescent="0.3">
      <c r="A15" s="60" t="s">
        <v>218</v>
      </c>
      <c r="B15" s="60"/>
      <c r="C15" s="60"/>
      <c r="D15" s="60"/>
      <c r="E15" s="60"/>
      <c r="F15" s="60"/>
      <c r="G15" s="60"/>
      <c r="H15" s="81">
        <f>'Journal Entry Summary'!$H$39</f>
        <v>0</v>
      </c>
      <c r="I15" s="1"/>
      <c r="J15" s="1"/>
      <c r="K15" s="232"/>
      <c r="L15" s="60"/>
      <c r="M15" s="60"/>
      <c r="N15" s="60"/>
      <c r="O15" s="60"/>
      <c r="P15" s="60"/>
    </row>
    <row r="16" spans="1:16" x14ac:dyDescent="0.3">
      <c r="A16" s="60"/>
      <c r="B16" s="60"/>
      <c r="C16" s="60"/>
      <c r="D16" s="60"/>
      <c r="E16" s="60"/>
      <c r="F16" s="60"/>
      <c r="G16" s="60"/>
      <c r="H16" s="1"/>
      <c r="I16" s="1"/>
      <c r="J16" s="1"/>
      <c r="K16" s="232"/>
      <c r="L16" s="60"/>
      <c r="M16" s="60"/>
      <c r="N16" s="60"/>
      <c r="O16" s="60"/>
      <c r="P16" s="60"/>
    </row>
    <row r="17" spans="1:17" ht="15" thickBot="1" x14ac:dyDescent="0.35">
      <c r="A17" s="5" t="s">
        <v>13</v>
      </c>
      <c r="B17" s="60"/>
      <c r="C17" s="60"/>
      <c r="D17" s="60"/>
      <c r="E17" s="60"/>
      <c r="F17" s="60"/>
      <c r="G17" s="60"/>
      <c r="H17" s="76">
        <f>SUM(H5:H15)</f>
        <v>0</v>
      </c>
      <c r="I17" s="77"/>
      <c r="J17" s="76">
        <f>SUM(J5:J15)</f>
        <v>0</v>
      </c>
      <c r="K17" s="60"/>
      <c r="L17" s="60"/>
      <c r="M17" s="60"/>
      <c r="N17" s="60"/>
      <c r="O17" s="60"/>
      <c r="P17" s="60"/>
      <c r="Q17" s="60"/>
    </row>
    <row r="18" spans="1:17" ht="15" thickTop="1" x14ac:dyDescent="0.3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6.95" customHeight="1" x14ac:dyDescent="0.3">
      <c r="A19" s="60"/>
      <c r="B19" s="60"/>
      <c r="C19" s="60"/>
      <c r="D19" s="60"/>
      <c r="E19" s="60"/>
      <c r="F19" s="60"/>
      <c r="G19" s="8" t="s">
        <v>219</v>
      </c>
      <c r="H19" s="22">
        <f>IF(J9&lt;H9,-J9,-H9)</f>
        <v>0</v>
      </c>
      <c r="I19" s="22"/>
      <c r="J19" s="22">
        <f>IF(J9&lt;H9,-J9,-H9)</f>
        <v>0</v>
      </c>
      <c r="K19" s="295"/>
      <c r="L19" s="295"/>
      <c r="M19" s="295"/>
      <c r="N19" s="295"/>
      <c r="O19" s="295"/>
      <c r="P19" s="295"/>
      <c r="Q19" s="295"/>
    </row>
    <row r="20" spans="1:17" ht="15" thickBot="1" x14ac:dyDescent="0.35">
      <c r="A20" s="60"/>
      <c r="B20" s="60"/>
      <c r="C20" s="60"/>
      <c r="D20" s="60"/>
      <c r="E20" s="60"/>
      <c r="F20" s="60"/>
      <c r="G20" s="8" t="s">
        <v>220</v>
      </c>
      <c r="H20" s="17">
        <f>H17+H19</f>
        <v>0</v>
      </c>
      <c r="I20" s="60"/>
      <c r="J20" s="17">
        <f>J17+J19</f>
        <v>0</v>
      </c>
      <c r="K20" s="60"/>
      <c r="L20" s="60"/>
      <c r="M20" s="60"/>
      <c r="N20" s="60"/>
      <c r="O20" s="60"/>
      <c r="P20" s="60"/>
      <c r="Q20" s="60"/>
    </row>
    <row r="21" spans="1:17" ht="15" thickTop="1" x14ac:dyDescent="0.3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</row>
    <row r="24" spans="1:17" x14ac:dyDescent="0.3">
      <c r="A24" s="60"/>
      <c r="B24" s="60"/>
      <c r="C24" s="60"/>
      <c r="D24" s="60"/>
      <c r="E24" s="60"/>
      <c r="F24" s="60"/>
      <c r="G24" s="60"/>
      <c r="H24" s="60"/>
      <c r="I24" s="61"/>
      <c r="J24" s="60"/>
      <c r="K24" s="60"/>
      <c r="L24" s="60"/>
      <c r="M24" s="60"/>
      <c r="N24" s="60"/>
      <c r="O24" s="60"/>
      <c r="P24" s="60"/>
      <c r="Q24" s="60"/>
    </row>
    <row r="25" spans="1:17" x14ac:dyDescent="0.3">
      <c r="A25" s="60"/>
      <c r="B25" s="232"/>
      <c r="C25" s="60"/>
      <c r="D25" s="60"/>
      <c r="E25" s="60"/>
      <c r="F25" s="60"/>
      <c r="G25" s="60"/>
      <c r="H25" s="60"/>
      <c r="I25" s="61"/>
      <c r="J25" s="237">
        <f>H20</f>
        <v>0</v>
      </c>
      <c r="K25" s="60" t="s">
        <v>221</v>
      </c>
      <c r="L25" s="60"/>
      <c r="M25" s="60"/>
      <c r="N25" s="60"/>
      <c r="O25" s="60"/>
      <c r="P25" s="60"/>
      <c r="Q25" s="60"/>
    </row>
    <row r="26" spans="1:17" x14ac:dyDescent="0.3">
      <c r="A26" s="60"/>
      <c r="B26" s="232"/>
      <c r="C26" s="60"/>
      <c r="D26" s="60"/>
      <c r="E26" s="60"/>
      <c r="F26" s="60"/>
      <c r="G26" s="60"/>
      <c r="H26" s="60"/>
      <c r="I26" s="22"/>
      <c r="J26" s="237">
        <f>-J20</f>
        <v>0</v>
      </c>
      <c r="K26" s="60" t="s">
        <v>222</v>
      </c>
      <c r="L26" s="60"/>
      <c r="M26" s="60"/>
      <c r="N26" s="60"/>
      <c r="O26" s="60"/>
      <c r="P26" s="60"/>
      <c r="Q26" s="60"/>
    </row>
    <row r="27" spans="1:17" x14ac:dyDescent="0.3">
      <c r="A27" s="60"/>
      <c r="B27" s="232"/>
      <c r="C27" s="60"/>
      <c r="D27" s="60"/>
      <c r="E27" s="60"/>
      <c r="F27" s="60"/>
      <c r="G27" s="60"/>
      <c r="H27" s="60"/>
      <c r="I27" s="60"/>
      <c r="J27" s="237">
        <f>-H15</f>
        <v>0</v>
      </c>
      <c r="K27" s="60" t="s">
        <v>223</v>
      </c>
      <c r="L27" s="60"/>
      <c r="M27" s="60"/>
      <c r="N27" s="60"/>
      <c r="O27" s="60"/>
      <c r="P27" s="60"/>
      <c r="Q27" s="60"/>
    </row>
    <row r="28" spans="1:17" ht="15" thickBot="1" x14ac:dyDescent="0.35">
      <c r="A28" s="60"/>
      <c r="B28" s="232"/>
      <c r="C28" s="60"/>
      <c r="D28" s="60"/>
      <c r="E28" s="60"/>
      <c r="F28" s="60"/>
      <c r="G28" s="60"/>
      <c r="H28" s="60"/>
      <c r="I28" s="60"/>
      <c r="J28" s="17">
        <f>SUM(J25:J27)</f>
        <v>0</v>
      </c>
      <c r="K28" s="60" t="s">
        <v>224</v>
      </c>
      <c r="L28" s="60"/>
      <c r="M28" s="60"/>
      <c r="N28" s="60"/>
      <c r="O28" s="60"/>
      <c r="P28" s="60"/>
      <c r="Q28" s="60"/>
    </row>
    <row r="29" spans="1:17" ht="15" thickTop="1" x14ac:dyDescent="0.3">
      <c r="A29" s="60"/>
      <c r="B29" s="60"/>
      <c r="C29" s="60"/>
      <c r="D29" s="60"/>
      <c r="E29" s="60"/>
      <c r="F29" s="60"/>
      <c r="G29" s="60"/>
      <c r="H29" s="60"/>
      <c r="I29" s="60"/>
      <c r="J29" s="1">
        <f>'Amort Summary'!M14</f>
        <v>0</v>
      </c>
      <c r="K29" s="60" t="s">
        <v>225</v>
      </c>
      <c r="L29" s="60"/>
      <c r="M29" s="60"/>
      <c r="N29" s="60"/>
      <c r="O29" s="60"/>
      <c r="P29" s="60"/>
      <c r="Q29" s="60"/>
    </row>
    <row r="30" spans="1:17" x14ac:dyDescent="0.3">
      <c r="A30" s="60"/>
      <c r="B30" s="60"/>
      <c r="C30" s="60"/>
      <c r="D30" s="60"/>
      <c r="E30" s="60"/>
      <c r="F30" s="60"/>
      <c r="G30" s="60"/>
      <c r="H30" s="60"/>
      <c r="I30" s="60"/>
      <c r="J30" s="274">
        <f>+J28-J29</f>
        <v>0</v>
      </c>
      <c r="K30" s="60" t="s">
        <v>226</v>
      </c>
      <c r="L30" s="60"/>
      <c r="M30" s="60"/>
      <c r="N30" s="60"/>
      <c r="O30" s="60"/>
      <c r="P30" s="60"/>
      <c r="Q30" s="60"/>
    </row>
  </sheetData>
  <mergeCells count="1">
    <mergeCell ref="K19:Q19"/>
  </mergeCells>
  <pageMargins left="0.7" right="0.7" top="0.75" bottom="0.75" header="0.3" footer="0.3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1"/>
  <sheetViews>
    <sheetView topLeftCell="A29" workbookViewId="0">
      <selection activeCell="H40" sqref="H40"/>
    </sheetView>
  </sheetViews>
  <sheetFormatPr defaultRowHeight="14.4" x14ac:dyDescent="0.3"/>
  <cols>
    <col min="1" max="1" width="11.33203125" customWidth="1"/>
    <col min="2" max="2" width="31" customWidth="1"/>
    <col min="3" max="3" width="20.33203125" customWidth="1"/>
    <col min="4" max="4" width="4.6640625" style="14" customWidth="1"/>
    <col min="5" max="5" width="17.6640625" customWidth="1"/>
    <col min="6" max="6" width="5.5546875" style="14" customWidth="1"/>
    <col min="7" max="7" width="2.44140625" customWidth="1"/>
    <col min="8" max="8" width="18.88671875" customWidth="1"/>
    <col min="9" max="9" width="4.6640625" style="14" customWidth="1"/>
    <col min="10" max="10" width="12" bestFit="1" customWidth="1"/>
    <col min="259" max="259" width="11.33203125" customWidth="1"/>
    <col min="260" max="260" width="31" customWidth="1"/>
    <col min="261" max="261" width="19.6640625" bestFit="1" customWidth="1"/>
    <col min="262" max="262" width="17.5546875" customWidth="1"/>
    <col min="263" max="263" width="14.109375" customWidth="1"/>
    <col min="264" max="264" width="18.88671875" customWidth="1"/>
    <col min="266" max="266" width="12" bestFit="1" customWidth="1"/>
    <col min="515" max="515" width="11.33203125" customWidth="1"/>
    <col min="516" max="516" width="31" customWidth="1"/>
    <col min="517" max="517" width="19.6640625" bestFit="1" customWidth="1"/>
    <col min="518" max="518" width="17.5546875" customWidth="1"/>
    <col min="519" max="519" width="14.109375" customWidth="1"/>
    <col min="520" max="520" width="18.88671875" customWidth="1"/>
    <col min="522" max="522" width="12" bestFit="1" customWidth="1"/>
    <col min="771" max="771" width="11.33203125" customWidth="1"/>
    <col min="772" max="772" width="31" customWidth="1"/>
    <col min="773" max="773" width="19.6640625" bestFit="1" customWidth="1"/>
    <col min="774" max="774" width="17.5546875" customWidth="1"/>
    <col min="775" max="775" width="14.109375" customWidth="1"/>
    <col min="776" max="776" width="18.88671875" customWidth="1"/>
    <col min="778" max="778" width="12" bestFit="1" customWidth="1"/>
    <col min="1027" max="1027" width="11.33203125" customWidth="1"/>
    <col min="1028" max="1028" width="31" customWidth="1"/>
    <col min="1029" max="1029" width="19.6640625" bestFit="1" customWidth="1"/>
    <col min="1030" max="1030" width="17.5546875" customWidth="1"/>
    <col min="1031" max="1031" width="14.109375" customWidth="1"/>
    <col min="1032" max="1032" width="18.88671875" customWidth="1"/>
    <col min="1034" max="1034" width="12" bestFit="1" customWidth="1"/>
    <col min="1283" max="1283" width="11.33203125" customWidth="1"/>
    <col min="1284" max="1284" width="31" customWidth="1"/>
    <col min="1285" max="1285" width="19.6640625" bestFit="1" customWidth="1"/>
    <col min="1286" max="1286" width="17.5546875" customWidth="1"/>
    <col min="1287" max="1287" width="14.109375" customWidth="1"/>
    <col min="1288" max="1288" width="18.88671875" customWidth="1"/>
    <col min="1290" max="1290" width="12" bestFit="1" customWidth="1"/>
    <col min="1539" max="1539" width="11.33203125" customWidth="1"/>
    <col min="1540" max="1540" width="31" customWidth="1"/>
    <col min="1541" max="1541" width="19.6640625" bestFit="1" customWidth="1"/>
    <col min="1542" max="1542" width="17.5546875" customWidth="1"/>
    <col min="1543" max="1543" width="14.109375" customWidth="1"/>
    <col min="1544" max="1544" width="18.88671875" customWidth="1"/>
    <col min="1546" max="1546" width="12" bestFit="1" customWidth="1"/>
    <col min="1795" max="1795" width="11.33203125" customWidth="1"/>
    <col min="1796" max="1796" width="31" customWidth="1"/>
    <col min="1797" max="1797" width="19.6640625" bestFit="1" customWidth="1"/>
    <col min="1798" max="1798" width="17.5546875" customWidth="1"/>
    <col min="1799" max="1799" width="14.109375" customWidth="1"/>
    <col min="1800" max="1800" width="18.88671875" customWidth="1"/>
    <col min="1802" max="1802" width="12" bestFit="1" customWidth="1"/>
    <col min="2051" max="2051" width="11.33203125" customWidth="1"/>
    <col min="2052" max="2052" width="31" customWidth="1"/>
    <col min="2053" max="2053" width="19.6640625" bestFit="1" customWidth="1"/>
    <col min="2054" max="2054" width="17.5546875" customWidth="1"/>
    <col min="2055" max="2055" width="14.109375" customWidth="1"/>
    <col min="2056" max="2056" width="18.88671875" customWidth="1"/>
    <col min="2058" max="2058" width="12" bestFit="1" customWidth="1"/>
    <col min="2307" max="2307" width="11.33203125" customWidth="1"/>
    <col min="2308" max="2308" width="31" customWidth="1"/>
    <col min="2309" max="2309" width="19.6640625" bestFit="1" customWidth="1"/>
    <col min="2310" max="2310" width="17.5546875" customWidth="1"/>
    <col min="2311" max="2311" width="14.109375" customWidth="1"/>
    <col min="2312" max="2312" width="18.88671875" customWidth="1"/>
    <col min="2314" max="2314" width="12" bestFit="1" customWidth="1"/>
    <col min="2563" max="2563" width="11.33203125" customWidth="1"/>
    <col min="2564" max="2564" width="31" customWidth="1"/>
    <col min="2565" max="2565" width="19.6640625" bestFit="1" customWidth="1"/>
    <col min="2566" max="2566" width="17.5546875" customWidth="1"/>
    <col min="2567" max="2567" width="14.109375" customWidth="1"/>
    <col min="2568" max="2568" width="18.88671875" customWidth="1"/>
    <col min="2570" max="2570" width="12" bestFit="1" customWidth="1"/>
    <col min="2819" max="2819" width="11.33203125" customWidth="1"/>
    <col min="2820" max="2820" width="31" customWidth="1"/>
    <col min="2821" max="2821" width="19.6640625" bestFit="1" customWidth="1"/>
    <col min="2822" max="2822" width="17.5546875" customWidth="1"/>
    <col min="2823" max="2823" width="14.109375" customWidth="1"/>
    <col min="2824" max="2824" width="18.88671875" customWidth="1"/>
    <col min="2826" max="2826" width="12" bestFit="1" customWidth="1"/>
    <col min="3075" max="3075" width="11.33203125" customWidth="1"/>
    <col min="3076" max="3076" width="31" customWidth="1"/>
    <col min="3077" max="3077" width="19.6640625" bestFit="1" customWidth="1"/>
    <col min="3078" max="3078" width="17.5546875" customWidth="1"/>
    <col min="3079" max="3079" width="14.109375" customWidth="1"/>
    <col min="3080" max="3080" width="18.88671875" customWidth="1"/>
    <col min="3082" max="3082" width="12" bestFit="1" customWidth="1"/>
    <col min="3331" max="3331" width="11.33203125" customWidth="1"/>
    <col min="3332" max="3332" width="31" customWidth="1"/>
    <col min="3333" max="3333" width="19.6640625" bestFit="1" customWidth="1"/>
    <col min="3334" max="3334" width="17.5546875" customWidth="1"/>
    <col min="3335" max="3335" width="14.109375" customWidth="1"/>
    <col min="3336" max="3336" width="18.88671875" customWidth="1"/>
    <col min="3338" max="3338" width="12" bestFit="1" customWidth="1"/>
    <col min="3587" max="3587" width="11.33203125" customWidth="1"/>
    <col min="3588" max="3588" width="31" customWidth="1"/>
    <col min="3589" max="3589" width="19.6640625" bestFit="1" customWidth="1"/>
    <col min="3590" max="3590" width="17.5546875" customWidth="1"/>
    <col min="3591" max="3591" width="14.109375" customWidth="1"/>
    <col min="3592" max="3592" width="18.88671875" customWidth="1"/>
    <col min="3594" max="3594" width="12" bestFit="1" customWidth="1"/>
    <col min="3843" max="3843" width="11.33203125" customWidth="1"/>
    <col min="3844" max="3844" width="31" customWidth="1"/>
    <col min="3845" max="3845" width="19.6640625" bestFit="1" customWidth="1"/>
    <col min="3846" max="3846" width="17.5546875" customWidth="1"/>
    <col min="3847" max="3847" width="14.109375" customWidth="1"/>
    <col min="3848" max="3848" width="18.88671875" customWidth="1"/>
    <col min="3850" max="3850" width="12" bestFit="1" customWidth="1"/>
    <col min="4099" max="4099" width="11.33203125" customWidth="1"/>
    <col min="4100" max="4100" width="31" customWidth="1"/>
    <col min="4101" max="4101" width="19.6640625" bestFit="1" customWidth="1"/>
    <col min="4102" max="4102" width="17.5546875" customWidth="1"/>
    <col min="4103" max="4103" width="14.109375" customWidth="1"/>
    <col min="4104" max="4104" width="18.88671875" customWidth="1"/>
    <col min="4106" max="4106" width="12" bestFit="1" customWidth="1"/>
    <col min="4355" max="4355" width="11.33203125" customWidth="1"/>
    <col min="4356" max="4356" width="31" customWidth="1"/>
    <col min="4357" max="4357" width="19.6640625" bestFit="1" customWidth="1"/>
    <col min="4358" max="4358" width="17.5546875" customWidth="1"/>
    <col min="4359" max="4359" width="14.109375" customWidth="1"/>
    <col min="4360" max="4360" width="18.88671875" customWidth="1"/>
    <col min="4362" max="4362" width="12" bestFit="1" customWidth="1"/>
    <col min="4611" max="4611" width="11.33203125" customWidth="1"/>
    <col min="4612" max="4612" width="31" customWidth="1"/>
    <col min="4613" max="4613" width="19.6640625" bestFit="1" customWidth="1"/>
    <col min="4614" max="4614" width="17.5546875" customWidth="1"/>
    <col min="4615" max="4615" width="14.109375" customWidth="1"/>
    <col min="4616" max="4616" width="18.88671875" customWidth="1"/>
    <col min="4618" max="4618" width="12" bestFit="1" customWidth="1"/>
    <col min="4867" max="4867" width="11.33203125" customWidth="1"/>
    <col min="4868" max="4868" width="31" customWidth="1"/>
    <col min="4869" max="4869" width="19.6640625" bestFit="1" customWidth="1"/>
    <col min="4870" max="4870" width="17.5546875" customWidth="1"/>
    <col min="4871" max="4871" width="14.109375" customWidth="1"/>
    <col min="4872" max="4872" width="18.88671875" customWidth="1"/>
    <col min="4874" max="4874" width="12" bestFit="1" customWidth="1"/>
    <col min="5123" max="5123" width="11.33203125" customWidth="1"/>
    <col min="5124" max="5124" width="31" customWidth="1"/>
    <col min="5125" max="5125" width="19.6640625" bestFit="1" customWidth="1"/>
    <col min="5126" max="5126" width="17.5546875" customWidth="1"/>
    <col min="5127" max="5127" width="14.109375" customWidth="1"/>
    <col min="5128" max="5128" width="18.88671875" customWidth="1"/>
    <col min="5130" max="5130" width="12" bestFit="1" customWidth="1"/>
    <col min="5379" max="5379" width="11.33203125" customWidth="1"/>
    <col min="5380" max="5380" width="31" customWidth="1"/>
    <col min="5381" max="5381" width="19.6640625" bestFit="1" customWidth="1"/>
    <col min="5382" max="5382" width="17.5546875" customWidth="1"/>
    <col min="5383" max="5383" width="14.109375" customWidth="1"/>
    <col min="5384" max="5384" width="18.88671875" customWidth="1"/>
    <col min="5386" max="5386" width="12" bestFit="1" customWidth="1"/>
    <col min="5635" max="5635" width="11.33203125" customWidth="1"/>
    <col min="5636" max="5636" width="31" customWidth="1"/>
    <col min="5637" max="5637" width="19.6640625" bestFit="1" customWidth="1"/>
    <col min="5638" max="5638" width="17.5546875" customWidth="1"/>
    <col min="5639" max="5639" width="14.109375" customWidth="1"/>
    <col min="5640" max="5640" width="18.88671875" customWidth="1"/>
    <col min="5642" max="5642" width="12" bestFit="1" customWidth="1"/>
    <col min="5891" max="5891" width="11.33203125" customWidth="1"/>
    <col min="5892" max="5892" width="31" customWidth="1"/>
    <col min="5893" max="5893" width="19.6640625" bestFit="1" customWidth="1"/>
    <col min="5894" max="5894" width="17.5546875" customWidth="1"/>
    <col min="5895" max="5895" width="14.109375" customWidth="1"/>
    <col min="5896" max="5896" width="18.88671875" customWidth="1"/>
    <col min="5898" max="5898" width="12" bestFit="1" customWidth="1"/>
    <col min="6147" max="6147" width="11.33203125" customWidth="1"/>
    <col min="6148" max="6148" width="31" customWidth="1"/>
    <col min="6149" max="6149" width="19.6640625" bestFit="1" customWidth="1"/>
    <col min="6150" max="6150" width="17.5546875" customWidth="1"/>
    <col min="6151" max="6151" width="14.109375" customWidth="1"/>
    <col min="6152" max="6152" width="18.88671875" customWidth="1"/>
    <col min="6154" max="6154" width="12" bestFit="1" customWidth="1"/>
    <col min="6403" max="6403" width="11.33203125" customWidth="1"/>
    <col min="6404" max="6404" width="31" customWidth="1"/>
    <col min="6405" max="6405" width="19.6640625" bestFit="1" customWidth="1"/>
    <col min="6406" max="6406" width="17.5546875" customWidth="1"/>
    <col min="6407" max="6407" width="14.109375" customWidth="1"/>
    <col min="6408" max="6408" width="18.88671875" customWidth="1"/>
    <col min="6410" max="6410" width="12" bestFit="1" customWidth="1"/>
    <col min="6659" max="6659" width="11.33203125" customWidth="1"/>
    <col min="6660" max="6660" width="31" customWidth="1"/>
    <col min="6661" max="6661" width="19.6640625" bestFit="1" customWidth="1"/>
    <col min="6662" max="6662" width="17.5546875" customWidth="1"/>
    <col min="6663" max="6663" width="14.109375" customWidth="1"/>
    <col min="6664" max="6664" width="18.88671875" customWidth="1"/>
    <col min="6666" max="6666" width="12" bestFit="1" customWidth="1"/>
    <col min="6915" max="6915" width="11.33203125" customWidth="1"/>
    <col min="6916" max="6916" width="31" customWidth="1"/>
    <col min="6917" max="6917" width="19.6640625" bestFit="1" customWidth="1"/>
    <col min="6918" max="6918" width="17.5546875" customWidth="1"/>
    <col min="6919" max="6919" width="14.109375" customWidth="1"/>
    <col min="6920" max="6920" width="18.88671875" customWidth="1"/>
    <col min="6922" max="6922" width="12" bestFit="1" customWidth="1"/>
    <col min="7171" max="7171" width="11.33203125" customWidth="1"/>
    <col min="7172" max="7172" width="31" customWidth="1"/>
    <col min="7173" max="7173" width="19.6640625" bestFit="1" customWidth="1"/>
    <col min="7174" max="7174" width="17.5546875" customWidth="1"/>
    <col min="7175" max="7175" width="14.109375" customWidth="1"/>
    <col min="7176" max="7176" width="18.88671875" customWidth="1"/>
    <col min="7178" max="7178" width="12" bestFit="1" customWidth="1"/>
    <col min="7427" max="7427" width="11.33203125" customWidth="1"/>
    <col min="7428" max="7428" width="31" customWidth="1"/>
    <col min="7429" max="7429" width="19.6640625" bestFit="1" customWidth="1"/>
    <col min="7430" max="7430" width="17.5546875" customWidth="1"/>
    <col min="7431" max="7431" width="14.109375" customWidth="1"/>
    <col min="7432" max="7432" width="18.88671875" customWidth="1"/>
    <col min="7434" max="7434" width="12" bestFit="1" customWidth="1"/>
    <col min="7683" max="7683" width="11.33203125" customWidth="1"/>
    <col min="7684" max="7684" width="31" customWidth="1"/>
    <col min="7685" max="7685" width="19.6640625" bestFit="1" customWidth="1"/>
    <col min="7686" max="7686" width="17.5546875" customWidth="1"/>
    <col min="7687" max="7687" width="14.109375" customWidth="1"/>
    <col min="7688" max="7688" width="18.88671875" customWidth="1"/>
    <col min="7690" max="7690" width="12" bestFit="1" customWidth="1"/>
    <col min="7939" max="7939" width="11.33203125" customWidth="1"/>
    <col min="7940" max="7940" width="31" customWidth="1"/>
    <col min="7941" max="7941" width="19.6640625" bestFit="1" customWidth="1"/>
    <col min="7942" max="7942" width="17.5546875" customWidth="1"/>
    <col min="7943" max="7943" width="14.109375" customWidth="1"/>
    <col min="7944" max="7944" width="18.88671875" customWidth="1"/>
    <col min="7946" max="7946" width="12" bestFit="1" customWidth="1"/>
    <col min="8195" max="8195" width="11.33203125" customWidth="1"/>
    <col min="8196" max="8196" width="31" customWidth="1"/>
    <col min="8197" max="8197" width="19.6640625" bestFit="1" customWidth="1"/>
    <col min="8198" max="8198" width="17.5546875" customWidth="1"/>
    <col min="8199" max="8199" width="14.109375" customWidth="1"/>
    <col min="8200" max="8200" width="18.88671875" customWidth="1"/>
    <col min="8202" max="8202" width="12" bestFit="1" customWidth="1"/>
    <col min="8451" max="8451" width="11.33203125" customWidth="1"/>
    <col min="8452" max="8452" width="31" customWidth="1"/>
    <col min="8453" max="8453" width="19.6640625" bestFit="1" customWidth="1"/>
    <col min="8454" max="8454" width="17.5546875" customWidth="1"/>
    <col min="8455" max="8455" width="14.109375" customWidth="1"/>
    <col min="8456" max="8456" width="18.88671875" customWidth="1"/>
    <col min="8458" max="8458" width="12" bestFit="1" customWidth="1"/>
    <col min="8707" max="8707" width="11.33203125" customWidth="1"/>
    <col min="8708" max="8708" width="31" customWidth="1"/>
    <col min="8709" max="8709" width="19.6640625" bestFit="1" customWidth="1"/>
    <col min="8710" max="8710" width="17.5546875" customWidth="1"/>
    <col min="8711" max="8711" width="14.109375" customWidth="1"/>
    <col min="8712" max="8712" width="18.88671875" customWidth="1"/>
    <col min="8714" max="8714" width="12" bestFit="1" customWidth="1"/>
    <col min="8963" max="8963" width="11.33203125" customWidth="1"/>
    <col min="8964" max="8964" width="31" customWidth="1"/>
    <col min="8965" max="8965" width="19.6640625" bestFit="1" customWidth="1"/>
    <col min="8966" max="8966" width="17.5546875" customWidth="1"/>
    <col min="8967" max="8967" width="14.109375" customWidth="1"/>
    <col min="8968" max="8968" width="18.88671875" customWidth="1"/>
    <col min="8970" max="8970" width="12" bestFit="1" customWidth="1"/>
    <col min="9219" max="9219" width="11.33203125" customWidth="1"/>
    <col min="9220" max="9220" width="31" customWidth="1"/>
    <col min="9221" max="9221" width="19.6640625" bestFit="1" customWidth="1"/>
    <col min="9222" max="9222" width="17.5546875" customWidth="1"/>
    <col min="9223" max="9223" width="14.109375" customWidth="1"/>
    <col min="9224" max="9224" width="18.88671875" customWidth="1"/>
    <col min="9226" max="9226" width="12" bestFit="1" customWidth="1"/>
    <col min="9475" max="9475" width="11.33203125" customWidth="1"/>
    <col min="9476" max="9476" width="31" customWidth="1"/>
    <col min="9477" max="9477" width="19.6640625" bestFit="1" customWidth="1"/>
    <col min="9478" max="9478" width="17.5546875" customWidth="1"/>
    <col min="9479" max="9479" width="14.109375" customWidth="1"/>
    <col min="9480" max="9480" width="18.88671875" customWidth="1"/>
    <col min="9482" max="9482" width="12" bestFit="1" customWidth="1"/>
    <col min="9731" max="9731" width="11.33203125" customWidth="1"/>
    <col min="9732" max="9732" width="31" customWidth="1"/>
    <col min="9733" max="9733" width="19.6640625" bestFit="1" customWidth="1"/>
    <col min="9734" max="9734" width="17.5546875" customWidth="1"/>
    <col min="9735" max="9735" width="14.109375" customWidth="1"/>
    <col min="9736" max="9736" width="18.88671875" customWidth="1"/>
    <col min="9738" max="9738" width="12" bestFit="1" customWidth="1"/>
    <col min="9987" max="9987" width="11.33203125" customWidth="1"/>
    <col min="9988" max="9988" width="31" customWidth="1"/>
    <col min="9989" max="9989" width="19.6640625" bestFit="1" customWidth="1"/>
    <col min="9990" max="9990" width="17.5546875" customWidth="1"/>
    <col min="9991" max="9991" width="14.109375" customWidth="1"/>
    <col min="9992" max="9992" width="18.88671875" customWidth="1"/>
    <col min="9994" max="9994" width="12" bestFit="1" customWidth="1"/>
    <col min="10243" max="10243" width="11.33203125" customWidth="1"/>
    <col min="10244" max="10244" width="31" customWidth="1"/>
    <col min="10245" max="10245" width="19.6640625" bestFit="1" customWidth="1"/>
    <col min="10246" max="10246" width="17.5546875" customWidth="1"/>
    <col min="10247" max="10247" width="14.109375" customWidth="1"/>
    <col min="10248" max="10248" width="18.88671875" customWidth="1"/>
    <col min="10250" max="10250" width="12" bestFit="1" customWidth="1"/>
    <col min="10499" max="10499" width="11.33203125" customWidth="1"/>
    <col min="10500" max="10500" width="31" customWidth="1"/>
    <col min="10501" max="10501" width="19.6640625" bestFit="1" customWidth="1"/>
    <col min="10502" max="10502" width="17.5546875" customWidth="1"/>
    <col min="10503" max="10503" width="14.109375" customWidth="1"/>
    <col min="10504" max="10504" width="18.88671875" customWidth="1"/>
    <col min="10506" max="10506" width="12" bestFit="1" customWidth="1"/>
    <col min="10755" max="10755" width="11.33203125" customWidth="1"/>
    <col min="10756" max="10756" width="31" customWidth="1"/>
    <col min="10757" max="10757" width="19.6640625" bestFit="1" customWidth="1"/>
    <col min="10758" max="10758" width="17.5546875" customWidth="1"/>
    <col min="10759" max="10759" width="14.109375" customWidth="1"/>
    <col min="10760" max="10760" width="18.88671875" customWidth="1"/>
    <col min="10762" max="10762" width="12" bestFit="1" customWidth="1"/>
    <col min="11011" max="11011" width="11.33203125" customWidth="1"/>
    <col min="11012" max="11012" width="31" customWidth="1"/>
    <col min="11013" max="11013" width="19.6640625" bestFit="1" customWidth="1"/>
    <col min="11014" max="11014" width="17.5546875" customWidth="1"/>
    <col min="11015" max="11015" width="14.109375" customWidth="1"/>
    <col min="11016" max="11016" width="18.88671875" customWidth="1"/>
    <col min="11018" max="11018" width="12" bestFit="1" customWidth="1"/>
    <col min="11267" max="11267" width="11.33203125" customWidth="1"/>
    <col min="11268" max="11268" width="31" customWidth="1"/>
    <col min="11269" max="11269" width="19.6640625" bestFit="1" customWidth="1"/>
    <col min="11270" max="11270" width="17.5546875" customWidth="1"/>
    <col min="11271" max="11271" width="14.109375" customWidth="1"/>
    <col min="11272" max="11272" width="18.88671875" customWidth="1"/>
    <col min="11274" max="11274" width="12" bestFit="1" customWidth="1"/>
    <col min="11523" max="11523" width="11.33203125" customWidth="1"/>
    <col min="11524" max="11524" width="31" customWidth="1"/>
    <col min="11525" max="11525" width="19.6640625" bestFit="1" customWidth="1"/>
    <col min="11526" max="11526" width="17.5546875" customWidth="1"/>
    <col min="11527" max="11527" width="14.109375" customWidth="1"/>
    <col min="11528" max="11528" width="18.88671875" customWidth="1"/>
    <col min="11530" max="11530" width="12" bestFit="1" customWidth="1"/>
    <col min="11779" max="11779" width="11.33203125" customWidth="1"/>
    <col min="11780" max="11780" width="31" customWidth="1"/>
    <col min="11781" max="11781" width="19.6640625" bestFit="1" customWidth="1"/>
    <col min="11782" max="11782" width="17.5546875" customWidth="1"/>
    <col min="11783" max="11783" width="14.109375" customWidth="1"/>
    <col min="11784" max="11784" width="18.88671875" customWidth="1"/>
    <col min="11786" max="11786" width="12" bestFit="1" customWidth="1"/>
    <col min="12035" max="12035" width="11.33203125" customWidth="1"/>
    <col min="12036" max="12036" width="31" customWidth="1"/>
    <col min="12037" max="12037" width="19.6640625" bestFit="1" customWidth="1"/>
    <col min="12038" max="12038" width="17.5546875" customWidth="1"/>
    <col min="12039" max="12039" width="14.109375" customWidth="1"/>
    <col min="12040" max="12040" width="18.88671875" customWidth="1"/>
    <col min="12042" max="12042" width="12" bestFit="1" customWidth="1"/>
    <col min="12291" max="12291" width="11.33203125" customWidth="1"/>
    <col min="12292" max="12292" width="31" customWidth="1"/>
    <col min="12293" max="12293" width="19.6640625" bestFit="1" customWidth="1"/>
    <col min="12294" max="12294" width="17.5546875" customWidth="1"/>
    <col min="12295" max="12295" width="14.109375" customWidth="1"/>
    <col min="12296" max="12296" width="18.88671875" customWidth="1"/>
    <col min="12298" max="12298" width="12" bestFit="1" customWidth="1"/>
    <col min="12547" max="12547" width="11.33203125" customWidth="1"/>
    <col min="12548" max="12548" width="31" customWidth="1"/>
    <col min="12549" max="12549" width="19.6640625" bestFit="1" customWidth="1"/>
    <col min="12550" max="12550" width="17.5546875" customWidth="1"/>
    <col min="12551" max="12551" width="14.109375" customWidth="1"/>
    <col min="12552" max="12552" width="18.88671875" customWidth="1"/>
    <col min="12554" max="12554" width="12" bestFit="1" customWidth="1"/>
    <col min="12803" max="12803" width="11.33203125" customWidth="1"/>
    <col min="12804" max="12804" width="31" customWidth="1"/>
    <col min="12805" max="12805" width="19.6640625" bestFit="1" customWidth="1"/>
    <col min="12806" max="12806" width="17.5546875" customWidth="1"/>
    <col min="12807" max="12807" width="14.109375" customWidth="1"/>
    <col min="12808" max="12808" width="18.88671875" customWidth="1"/>
    <col min="12810" max="12810" width="12" bestFit="1" customWidth="1"/>
    <col min="13059" max="13059" width="11.33203125" customWidth="1"/>
    <col min="13060" max="13060" width="31" customWidth="1"/>
    <col min="13061" max="13061" width="19.6640625" bestFit="1" customWidth="1"/>
    <col min="13062" max="13062" width="17.5546875" customWidth="1"/>
    <col min="13063" max="13063" width="14.109375" customWidth="1"/>
    <col min="13064" max="13064" width="18.88671875" customWidth="1"/>
    <col min="13066" max="13066" width="12" bestFit="1" customWidth="1"/>
    <col min="13315" max="13315" width="11.33203125" customWidth="1"/>
    <col min="13316" max="13316" width="31" customWidth="1"/>
    <col min="13317" max="13317" width="19.6640625" bestFit="1" customWidth="1"/>
    <col min="13318" max="13318" width="17.5546875" customWidth="1"/>
    <col min="13319" max="13319" width="14.109375" customWidth="1"/>
    <col min="13320" max="13320" width="18.88671875" customWidth="1"/>
    <col min="13322" max="13322" width="12" bestFit="1" customWidth="1"/>
    <col min="13571" max="13571" width="11.33203125" customWidth="1"/>
    <col min="13572" max="13572" width="31" customWidth="1"/>
    <col min="13573" max="13573" width="19.6640625" bestFit="1" customWidth="1"/>
    <col min="13574" max="13574" width="17.5546875" customWidth="1"/>
    <col min="13575" max="13575" width="14.109375" customWidth="1"/>
    <col min="13576" max="13576" width="18.88671875" customWidth="1"/>
    <col min="13578" max="13578" width="12" bestFit="1" customWidth="1"/>
    <col min="13827" max="13827" width="11.33203125" customWidth="1"/>
    <col min="13828" max="13828" width="31" customWidth="1"/>
    <col min="13829" max="13829" width="19.6640625" bestFit="1" customWidth="1"/>
    <col min="13830" max="13830" width="17.5546875" customWidth="1"/>
    <col min="13831" max="13831" width="14.109375" customWidth="1"/>
    <col min="13832" max="13832" width="18.88671875" customWidth="1"/>
    <col min="13834" max="13834" width="12" bestFit="1" customWidth="1"/>
    <col min="14083" max="14083" width="11.33203125" customWidth="1"/>
    <col min="14084" max="14084" width="31" customWidth="1"/>
    <col min="14085" max="14085" width="19.6640625" bestFit="1" customWidth="1"/>
    <col min="14086" max="14086" width="17.5546875" customWidth="1"/>
    <col min="14087" max="14087" width="14.109375" customWidth="1"/>
    <col min="14088" max="14088" width="18.88671875" customWidth="1"/>
    <col min="14090" max="14090" width="12" bestFit="1" customWidth="1"/>
    <col min="14339" max="14339" width="11.33203125" customWidth="1"/>
    <col min="14340" max="14340" width="31" customWidth="1"/>
    <col min="14341" max="14341" width="19.6640625" bestFit="1" customWidth="1"/>
    <col min="14342" max="14342" width="17.5546875" customWidth="1"/>
    <col min="14343" max="14343" width="14.109375" customWidth="1"/>
    <col min="14344" max="14344" width="18.88671875" customWidth="1"/>
    <col min="14346" max="14346" width="12" bestFit="1" customWidth="1"/>
    <col min="14595" max="14595" width="11.33203125" customWidth="1"/>
    <col min="14596" max="14596" width="31" customWidth="1"/>
    <col min="14597" max="14597" width="19.6640625" bestFit="1" customWidth="1"/>
    <col min="14598" max="14598" width="17.5546875" customWidth="1"/>
    <col min="14599" max="14599" width="14.109375" customWidth="1"/>
    <col min="14600" max="14600" width="18.88671875" customWidth="1"/>
    <col min="14602" max="14602" width="12" bestFit="1" customWidth="1"/>
    <col min="14851" max="14851" width="11.33203125" customWidth="1"/>
    <col min="14852" max="14852" width="31" customWidth="1"/>
    <col min="14853" max="14853" width="19.6640625" bestFit="1" customWidth="1"/>
    <col min="14854" max="14854" width="17.5546875" customWidth="1"/>
    <col min="14855" max="14855" width="14.109375" customWidth="1"/>
    <col min="14856" max="14856" width="18.88671875" customWidth="1"/>
    <col min="14858" max="14858" width="12" bestFit="1" customWidth="1"/>
    <col min="15107" max="15107" width="11.33203125" customWidth="1"/>
    <col min="15108" max="15108" width="31" customWidth="1"/>
    <col min="15109" max="15109" width="19.6640625" bestFit="1" customWidth="1"/>
    <col min="15110" max="15110" width="17.5546875" customWidth="1"/>
    <col min="15111" max="15111" width="14.109375" customWidth="1"/>
    <col min="15112" max="15112" width="18.88671875" customWidth="1"/>
    <col min="15114" max="15114" width="12" bestFit="1" customWidth="1"/>
    <col min="15363" max="15363" width="11.33203125" customWidth="1"/>
    <col min="15364" max="15364" width="31" customWidth="1"/>
    <col min="15365" max="15365" width="19.6640625" bestFit="1" customWidth="1"/>
    <col min="15366" max="15366" width="17.5546875" customWidth="1"/>
    <col min="15367" max="15367" width="14.109375" customWidth="1"/>
    <col min="15368" max="15368" width="18.88671875" customWidth="1"/>
    <col min="15370" max="15370" width="12" bestFit="1" customWidth="1"/>
    <col min="15619" max="15619" width="11.33203125" customWidth="1"/>
    <col min="15620" max="15620" width="31" customWidth="1"/>
    <col min="15621" max="15621" width="19.6640625" bestFit="1" customWidth="1"/>
    <col min="15622" max="15622" width="17.5546875" customWidth="1"/>
    <col min="15623" max="15623" width="14.109375" customWidth="1"/>
    <col min="15624" max="15624" width="18.88671875" customWidth="1"/>
    <col min="15626" max="15626" width="12" bestFit="1" customWidth="1"/>
    <col min="15875" max="15875" width="11.33203125" customWidth="1"/>
    <col min="15876" max="15876" width="31" customWidth="1"/>
    <col min="15877" max="15877" width="19.6640625" bestFit="1" customWidth="1"/>
    <col min="15878" max="15878" width="17.5546875" customWidth="1"/>
    <col min="15879" max="15879" width="14.109375" customWidth="1"/>
    <col min="15880" max="15880" width="18.88671875" customWidth="1"/>
    <col min="15882" max="15882" width="12" bestFit="1" customWidth="1"/>
    <col min="16131" max="16131" width="11.33203125" customWidth="1"/>
    <col min="16132" max="16132" width="31" customWidth="1"/>
    <col min="16133" max="16133" width="19.6640625" bestFit="1" customWidth="1"/>
    <col min="16134" max="16134" width="17.5546875" customWidth="1"/>
    <col min="16135" max="16135" width="14.109375" customWidth="1"/>
    <col min="16136" max="16136" width="18.88671875" customWidth="1"/>
    <col min="16138" max="16138" width="12" bestFit="1" customWidth="1"/>
  </cols>
  <sheetData>
    <row r="1" spans="1:9" ht="16.2" thickBot="1" x14ac:dyDescent="0.35">
      <c r="A1" s="296" t="s">
        <v>227</v>
      </c>
      <c r="B1" s="296"/>
      <c r="C1" s="296"/>
      <c r="D1" s="296"/>
      <c r="E1" s="296"/>
      <c r="F1" s="296"/>
      <c r="G1" s="296"/>
      <c r="H1" s="296"/>
    </row>
    <row r="3" spans="1:9" x14ac:dyDescent="0.3">
      <c r="A3" s="60" t="s">
        <v>299</v>
      </c>
      <c r="B3" s="62"/>
      <c r="C3" s="62"/>
      <c r="E3" s="60"/>
      <c r="G3" s="60"/>
      <c r="H3" s="60"/>
    </row>
    <row r="5" spans="1:9" x14ac:dyDescent="0.3">
      <c r="A5" s="60" t="s">
        <v>228</v>
      </c>
      <c r="B5" s="60"/>
      <c r="C5" s="60"/>
      <c r="E5" s="60"/>
      <c r="G5" s="60"/>
      <c r="H5" s="60"/>
    </row>
    <row r="6" spans="1:9" x14ac:dyDescent="0.3">
      <c r="A6" s="60"/>
      <c r="B6" s="60" t="s">
        <v>229</v>
      </c>
      <c r="C6" s="60"/>
      <c r="E6" s="60"/>
      <c r="G6" s="60"/>
      <c r="H6" s="60"/>
    </row>
    <row r="7" spans="1:9" x14ac:dyDescent="0.3">
      <c r="A7" s="60"/>
      <c r="B7" s="60" t="s">
        <v>230</v>
      </c>
      <c r="C7" s="60"/>
      <c r="E7" s="60"/>
      <c r="G7" s="60"/>
      <c r="H7" s="60"/>
    </row>
    <row r="8" spans="1:9" x14ac:dyDescent="0.3">
      <c r="A8" s="60"/>
      <c r="B8" s="60" t="s">
        <v>231</v>
      </c>
      <c r="C8" s="60"/>
      <c r="E8" s="60"/>
      <c r="G8" s="60"/>
      <c r="H8" s="60"/>
    </row>
    <row r="9" spans="1:9" s="60" customFormat="1" x14ac:dyDescent="0.3">
      <c r="D9" s="14"/>
      <c r="F9" s="14"/>
      <c r="I9" s="14"/>
    </row>
    <row r="10" spans="1:9" x14ac:dyDescent="0.3">
      <c r="A10" s="60" t="s">
        <v>232</v>
      </c>
      <c r="B10" s="60"/>
      <c r="C10" s="60"/>
      <c r="E10" s="60"/>
      <c r="G10" s="60"/>
      <c r="H10" s="60"/>
    </row>
    <row r="11" spans="1:9" x14ac:dyDescent="0.3">
      <c r="A11" s="60"/>
      <c r="B11" s="60" t="s">
        <v>233</v>
      </c>
      <c r="C11" s="60"/>
      <c r="E11" s="60"/>
      <c r="G11" s="60"/>
      <c r="H11" s="60"/>
    </row>
    <row r="12" spans="1:9" x14ac:dyDescent="0.3">
      <c r="A12" s="60"/>
      <c r="B12" s="60" t="s">
        <v>260</v>
      </c>
      <c r="C12" s="60"/>
      <c r="E12" s="60"/>
      <c r="G12" s="60"/>
      <c r="H12" s="60"/>
    </row>
    <row r="13" spans="1:9" x14ac:dyDescent="0.3">
      <c r="A13" s="60"/>
      <c r="B13" s="60" t="s">
        <v>234</v>
      </c>
      <c r="C13" s="60"/>
      <c r="E13" s="60"/>
      <c r="G13" s="60"/>
      <c r="H13" s="60"/>
    </row>
    <row r="15" spans="1:9" x14ac:dyDescent="0.3">
      <c r="A15" s="27" t="s">
        <v>235</v>
      </c>
      <c r="B15" s="60" t="s">
        <v>236</v>
      </c>
      <c r="C15" s="60"/>
      <c r="E15" s="60"/>
      <c r="G15" s="60"/>
      <c r="H15" s="60"/>
    </row>
    <row r="16" spans="1:9" x14ac:dyDescent="0.3">
      <c r="A16" s="27" t="s">
        <v>237</v>
      </c>
      <c r="B16" s="60" t="s">
        <v>238</v>
      </c>
      <c r="C16" s="60"/>
      <c r="E16" s="60"/>
      <c r="G16" s="60"/>
      <c r="H16" s="60"/>
    </row>
    <row r="17" spans="1:9" x14ac:dyDescent="0.3">
      <c r="A17" s="27"/>
      <c r="B17" s="60" t="s">
        <v>239</v>
      </c>
      <c r="C17" s="60"/>
      <c r="E17" s="60"/>
      <c r="G17" s="60"/>
      <c r="H17" s="60"/>
    </row>
    <row r="18" spans="1:9" x14ac:dyDescent="0.3">
      <c r="A18" s="27" t="s">
        <v>240</v>
      </c>
      <c r="B18" s="60" t="s">
        <v>241</v>
      </c>
      <c r="C18" s="60"/>
      <c r="E18" s="60"/>
      <c r="G18" s="60"/>
      <c r="H18" s="60"/>
    </row>
    <row r="19" spans="1:9" x14ac:dyDescent="0.3">
      <c r="A19" s="27"/>
      <c r="B19" s="60" t="s">
        <v>242</v>
      </c>
      <c r="C19" s="60"/>
      <c r="E19" s="60"/>
      <c r="G19" s="60"/>
      <c r="H19" s="60"/>
    </row>
    <row r="20" spans="1:9" x14ac:dyDescent="0.3">
      <c r="A20" s="27" t="s">
        <v>243</v>
      </c>
      <c r="B20" s="60" t="s">
        <v>244</v>
      </c>
      <c r="C20" s="60"/>
      <c r="E20" s="60"/>
      <c r="G20" s="60"/>
      <c r="H20" s="60"/>
    </row>
    <row r="21" spans="1:9" x14ac:dyDescent="0.3">
      <c r="A21" s="27"/>
      <c r="B21" s="60" t="s">
        <v>261</v>
      </c>
      <c r="C21" s="60"/>
      <c r="E21" s="60"/>
      <c r="G21" s="60"/>
      <c r="H21" s="60"/>
    </row>
    <row r="22" spans="1:9" x14ac:dyDescent="0.3">
      <c r="A22" s="27"/>
      <c r="B22" s="60"/>
      <c r="C22" s="60"/>
      <c r="E22" s="60"/>
      <c r="G22" s="60"/>
      <c r="H22" s="60"/>
    </row>
    <row r="23" spans="1:9" ht="15" thickBot="1" x14ac:dyDescent="0.35">
      <c r="A23" s="27" t="s">
        <v>245</v>
      </c>
      <c r="B23" s="62" t="s">
        <v>300</v>
      </c>
      <c r="C23" s="62"/>
      <c r="D23" s="51"/>
      <c r="E23" s="62"/>
      <c r="G23" s="60"/>
      <c r="H23" s="60"/>
    </row>
    <row r="24" spans="1:9" ht="27" x14ac:dyDescent="0.3">
      <c r="A24" s="60"/>
      <c r="B24" s="62"/>
      <c r="C24" s="260" t="s">
        <v>246</v>
      </c>
      <c r="D24" s="261"/>
      <c r="E24" s="262" t="s">
        <v>247</v>
      </c>
      <c r="G24" s="60"/>
      <c r="H24" s="60"/>
    </row>
    <row r="25" spans="1:9" x14ac:dyDescent="0.3">
      <c r="A25" s="60"/>
      <c r="B25" s="62"/>
      <c r="C25" s="281">
        <f>+Regular!L57</f>
        <v>45473</v>
      </c>
      <c r="D25" s="282"/>
      <c r="E25" s="283">
        <f>'2024 Data'!$F$7</f>
        <v>3641496357</v>
      </c>
      <c r="F25" s="40"/>
      <c r="G25" s="60"/>
      <c r="H25" s="60"/>
    </row>
    <row r="26" spans="1:9" ht="15" thickBot="1" x14ac:dyDescent="0.35">
      <c r="A26" s="60"/>
      <c r="B26" s="62"/>
      <c r="C26" s="263">
        <f>+Regular!J57</f>
        <v>45107</v>
      </c>
      <c r="D26" s="208"/>
      <c r="E26" s="209">
        <f>'2023 Data'!$F$7</f>
        <v>4513665180</v>
      </c>
      <c r="F26" s="40"/>
      <c r="G26" s="60"/>
      <c r="H26" s="60"/>
    </row>
    <row r="27" spans="1:9" ht="15" thickBot="1" x14ac:dyDescent="0.35">
      <c r="A27" s="28" t="s">
        <v>248</v>
      </c>
      <c r="B27" s="60"/>
      <c r="C27" s="60"/>
      <c r="E27" s="60"/>
      <c r="G27" s="60"/>
      <c r="H27" s="60"/>
    </row>
    <row r="29" spans="1:9" x14ac:dyDescent="0.3">
      <c r="A29" s="264" t="s">
        <v>301</v>
      </c>
      <c r="B29" s="264"/>
      <c r="C29" s="13"/>
      <c r="D29" s="60"/>
      <c r="E29" s="60"/>
      <c r="F29" s="60"/>
      <c r="G29" s="60"/>
      <c r="H29" s="4"/>
    </row>
    <row r="30" spans="1:9" s="30" customFormat="1" ht="27" x14ac:dyDescent="0.3">
      <c r="A30" s="29" t="s">
        <v>249</v>
      </c>
      <c r="B30" s="29" t="s">
        <v>250</v>
      </c>
      <c r="C30" s="29" t="s">
        <v>251</v>
      </c>
      <c r="D30" s="60"/>
      <c r="E30" s="60"/>
      <c r="F30" s="60"/>
      <c r="G30" s="60"/>
      <c r="H30" s="29" t="s">
        <v>252</v>
      </c>
      <c r="I30" s="39"/>
    </row>
    <row r="31" spans="1:9" x14ac:dyDescent="0.3">
      <c r="A31" s="27"/>
      <c r="B31" s="60"/>
      <c r="C31" s="60" t="s">
        <v>22</v>
      </c>
      <c r="D31" s="60"/>
      <c r="E31" s="60"/>
      <c r="F31" s="60"/>
      <c r="G31" s="60"/>
      <c r="H31" s="22">
        <f>'2024 Data'!$R$39</f>
        <v>0</v>
      </c>
    </row>
    <row r="32" spans="1:9" x14ac:dyDescent="0.3">
      <c r="A32" s="27"/>
      <c r="B32" s="60"/>
      <c r="C32" s="60" t="s">
        <v>253</v>
      </c>
      <c r="D32" s="60"/>
      <c r="E32" s="60"/>
      <c r="F32" s="60"/>
      <c r="G32" s="60"/>
      <c r="H32" s="22">
        <f>'2024 Data'!$T$39</f>
        <v>0</v>
      </c>
    </row>
    <row r="33" spans="1:9" x14ac:dyDescent="0.3">
      <c r="A33" s="27"/>
      <c r="B33" s="60"/>
      <c r="C33" s="60" t="s">
        <v>254</v>
      </c>
      <c r="D33" s="60"/>
      <c r="E33" s="60"/>
      <c r="F33" s="60"/>
      <c r="G33" s="60"/>
      <c r="H33" s="22">
        <f>'2024 Data'!$V$39</f>
        <v>0</v>
      </c>
    </row>
    <row r="34" spans="1:9" ht="15" thickBot="1" x14ac:dyDescent="0.35">
      <c r="A34" s="60"/>
      <c r="B34" s="60"/>
      <c r="C34" s="60"/>
      <c r="D34" s="60"/>
      <c r="E34" s="60"/>
      <c r="F34" s="60"/>
      <c r="G34" s="60"/>
      <c r="H34" s="31">
        <f>SUM(H31:H33)</f>
        <v>0</v>
      </c>
    </row>
    <row r="35" spans="1:9" ht="15" thickTop="1" x14ac:dyDescent="0.3">
      <c r="A35" s="60"/>
      <c r="B35" s="60"/>
      <c r="C35" s="60"/>
      <c r="D35" s="60"/>
      <c r="E35" s="60"/>
      <c r="F35" s="60"/>
      <c r="G35" s="60"/>
      <c r="H35" s="32"/>
    </row>
    <row r="36" spans="1:9" x14ac:dyDescent="0.3">
      <c r="A36" s="60"/>
      <c r="B36" s="34" t="s">
        <v>255</v>
      </c>
      <c r="C36" s="34"/>
      <c r="D36" s="60"/>
      <c r="E36" s="60"/>
      <c r="F36" s="60"/>
      <c r="G36" s="60"/>
      <c r="H36" s="36">
        <f>E25</f>
        <v>3641496357</v>
      </c>
    </row>
    <row r="37" spans="1:9" x14ac:dyDescent="0.3">
      <c r="A37" s="60"/>
      <c r="B37" s="34" t="s">
        <v>256</v>
      </c>
      <c r="C37" s="34"/>
      <c r="D37" s="60"/>
      <c r="E37" s="60"/>
      <c r="F37" s="60"/>
      <c r="G37" s="60"/>
      <c r="H37" s="248">
        <f>+H34/H36</f>
        <v>0</v>
      </c>
    </row>
    <row r="38" spans="1:9" x14ac:dyDescent="0.3">
      <c r="A38" s="60"/>
      <c r="B38" s="60"/>
      <c r="C38" s="60"/>
      <c r="D38" s="60"/>
      <c r="E38" s="60"/>
      <c r="F38" s="60"/>
      <c r="G38" s="60"/>
      <c r="H38" s="60"/>
    </row>
    <row r="39" spans="1:9" x14ac:dyDescent="0.3">
      <c r="A39" s="60"/>
      <c r="B39" s="60"/>
      <c r="C39" s="60"/>
      <c r="D39" s="60"/>
      <c r="E39" s="60"/>
      <c r="F39" s="60"/>
      <c r="G39" s="60"/>
      <c r="H39" s="60"/>
    </row>
    <row r="40" spans="1:9" x14ac:dyDescent="0.3">
      <c r="A40" s="264" t="s">
        <v>290</v>
      </c>
      <c r="B40" s="264"/>
      <c r="C40" s="13"/>
      <c r="D40" s="60"/>
      <c r="E40" s="60"/>
      <c r="F40" s="60"/>
      <c r="G40" s="60"/>
      <c r="H40" s="4"/>
      <c r="I40" s="4"/>
    </row>
    <row r="41" spans="1:9" ht="27" x14ac:dyDescent="0.3">
      <c r="A41" s="29" t="s">
        <v>249</v>
      </c>
      <c r="B41" s="29" t="s">
        <v>250</v>
      </c>
      <c r="C41" s="29" t="s">
        <v>251</v>
      </c>
      <c r="D41" s="60"/>
      <c r="E41" s="60"/>
      <c r="F41" s="60"/>
      <c r="G41" s="60"/>
      <c r="H41" s="29" t="s">
        <v>252</v>
      </c>
      <c r="I41" s="60"/>
    </row>
    <row r="42" spans="1:9" x14ac:dyDescent="0.3">
      <c r="A42" s="27"/>
      <c r="B42" s="60"/>
      <c r="C42" s="60" t="s">
        <v>22</v>
      </c>
      <c r="D42" s="60"/>
      <c r="E42" s="60"/>
      <c r="F42" s="60"/>
      <c r="G42" s="60"/>
      <c r="H42" s="22">
        <f>'2023 Data'!$R$39</f>
        <v>0</v>
      </c>
    </row>
    <row r="43" spans="1:9" x14ac:dyDescent="0.3">
      <c r="A43" s="27"/>
      <c r="B43" s="60"/>
      <c r="C43" s="60" t="s">
        <v>257</v>
      </c>
      <c r="D43" s="60"/>
      <c r="E43" s="60"/>
      <c r="F43" s="60"/>
      <c r="G43" s="60"/>
      <c r="H43" s="22">
        <f>'2023 Data'!$T$39</f>
        <v>0</v>
      </c>
    </row>
    <row r="44" spans="1:9" x14ac:dyDescent="0.3">
      <c r="A44" s="27"/>
      <c r="B44" s="60"/>
      <c r="C44" s="60" t="s">
        <v>254</v>
      </c>
      <c r="D44" s="60"/>
      <c r="E44" s="60"/>
      <c r="F44" s="60"/>
      <c r="G44" s="60"/>
      <c r="H44" s="22">
        <f>'2023 Data'!$V$39</f>
        <v>0</v>
      </c>
    </row>
    <row r="45" spans="1:9" ht="15" thickBot="1" x14ac:dyDescent="0.35">
      <c r="A45" s="60"/>
      <c r="B45" s="60"/>
      <c r="C45" s="60"/>
      <c r="D45" s="60"/>
      <c r="E45" s="60"/>
      <c r="F45" s="60"/>
      <c r="G45" s="60"/>
      <c r="H45" s="31">
        <f>SUM(H42:H44)</f>
        <v>0</v>
      </c>
    </row>
    <row r="46" spans="1:9" ht="15" thickTop="1" x14ac:dyDescent="0.3">
      <c r="A46" s="60"/>
      <c r="B46" s="60"/>
      <c r="C46" s="60"/>
      <c r="E46" s="32"/>
      <c r="F46" s="41"/>
      <c r="G46" s="33"/>
      <c r="H46" s="32"/>
    </row>
    <row r="47" spans="1:9" x14ac:dyDescent="0.3">
      <c r="A47" s="60"/>
      <c r="B47" s="34" t="s">
        <v>258</v>
      </c>
      <c r="C47" s="34"/>
      <c r="D47" s="42"/>
      <c r="E47" s="34"/>
      <c r="F47" s="42"/>
      <c r="G47" s="35"/>
      <c r="H47" s="37">
        <f>E26</f>
        <v>4513665180</v>
      </c>
    </row>
    <row r="48" spans="1:9" x14ac:dyDescent="0.3">
      <c r="A48" s="60"/>
      <c r="B48" s="34" t="s">
        <v>256</v>
      </c>
      <c r="C48" s="34"/>
      <c r="D48" s="42"/>
      <c r="E48" s="34"/>
      <c r="F48" s="42"/>
      <c r="G48" s="35"/>
      <c r="H48" s="248">
        <f>+H45/H47</f>
        <v>0</v>
      </c>
    </row>
    <row r="50" spans="5:8" ht="15" thickBot="1" x14ac:dyDescent="0.35">
      <c r="E50" s="60" t="s">
        <v>259</v>
      </c>
      <c r="G50" s="60"/>
      <c r="H50" s="38">
        <f>H37-H48</f>
        <v>0</v>
      </c>
    </row>
    <row r="51" spans="5:8" ht="15" thickTop="1" x14ac:dyDescent="0.3">
      <c r="E51" s="60"/>
      <c r="G51" s="60"/>
      <c r="H51" s="60"/>
    </row>
  </sheetData>
  <mergeCells count="1">
    <mergeCell ref="A1:H1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1"/>
  <sheetViews>
    <sheetView zoomScale="80" zoomScaleNormal="80" workbookViewId="0">
      <selection activeCell="A27" sqref="A27"/>
    </sheetView>
  </sheetViews>
  <sheetFormatPr defaultColWidth="9.109375" defaultRowHeight="14.4" x14ac:dyDescent="0.3"/>
  <cols>
    <col min="1" max="2" width="3.6640625" style="69" customWidth="1"/>
    <col min="3" max="3" width="9.109375" style="69"/>
    <col min="4" max="4" width="23.88671875" style="69" customWidth="1"/>
    <col min="5" max="5" width="5.5546875" style="69" customWidth="1"/>
    <col min="6" max="6" width="22.33203125" style="69" bestFit="1" customWidth="1"/>
    <col min="7" max="7" width="1.5546875" style="69" customWidth="1"/>
    <col min="8" max="8" width="18.109375" style="69" bestFit="1" customWidth="1"/>
    <col min="9" max="9" width="1.6640625" style="69" customWidth="1"/>
    <col min="10" max="10" width="16" style="69" bestFit="1" customWidth="1"/>
    <col min="11" max="11" width="1.44140625" style="69" customWidth="1"/>
    <col min="12" max="12" width="16.5546875" style="69" bestFit="1" customWidth="1"/>
    <col min="13" max="13" width="1.6640625" style="69" customWidth="1"/>
    <col min="14" max="14" width="15.44140625" style="69" customWidth="1"/>
    <col min="15" max="15" width="1.6640625" style="69" customWidth="1"/>
    <col min="16" max="16" width="14" style="69" customWidth="1"/>
    <col min="17" max="17" width="1.6640625" style="69" customWidth="1"/>
    <col min="18" max="18" width="13.44140625" style="69" bestFit="1" customWidth="1"/>
    <col min="19" max="19" width="1.6640625" style="69" customWidth="1"/>
    <col min="20" max="20" width="11.5546875" style="69" customWidth="1"/>
    <col min="21" max="21" width="1.6640625" style="69" customWidth="1"/>
    <col min="22" max="22" width="12.33203125" style="69" customWidth="1"/>
    <col min="23" max="23" width="1.6640625" style="69" customWidth="1"/>
    <col min="24" max="24" width="14.109375" style="69" customWidth="1"/>
    <col min="25" max="16384" width="9.109375" style="69"/>
  </cols>
  <sheetData>
    <row r="1" spans="1:24" ht="21" x14ac:dyDescent="0.4">
      <c r="A1" s="69" t="s">
        <v>280</v>
      </c>
      <c r="F1" s="285" t="s">
        <v>281</v>
      </c>
      <c r="G1" s="285"/>
      <c r="H1" s="285"/>
      <c r="I1" s="285"/>
      <c r="J1" s="285"/>
      <c r="K1" s="285"/>
      <c r="L1" s="285"/>
      <c r="M1" s="91"/>
      <c r="N1" s="91"/>
      <c r="O1" s="91"/>
      <c r="P1" s="91"/>
    </row>
    <row r="2" spans="1:24" x14ac:dyDescent="0.3">
      <c r="F2" s="92"/>
      <c r="G2" s="92"/>
      <c r="H2" s="92"/>
      <c r="I2" s="92"/>
      <c r="J2" s="92"/>
      <c r="K2" s="92"/>
      <c r="L2" s="92"/>
    </row>
    <row r="3" spans="1:24" x14ac:dyDescent="0.3">
      <c r="F3" s="72" t="s">
        <v>0</v>
      </c>
      <c r="G3" s="72"/>
      <c r="H3" s="72" t="s">
        <v>1</v>
      </c>
      <c r="I3" s="72"/>
      <c r="J3" s="72" t="s">
        <v>2</v>
      </c>
      <c r="K3" s="72"/>
      <c r="L3" s="72" t="s">
        <v>3</v>
      </c>
    </row>
    <row r="4" spans="1:24" x14ac:dyDescent="0.3">
      <c r="A4" s="93" t="s">
        <v>282</v>
      </c>
      <c r="B4" s="93"/>
      <c r="C4" s="93"/>
      <c r="D4" s="93"/>
      <c r="E4" s="93"/>
      <c r="P4" s="52" t="s">
        <v>284</v>
      </c>
      <c r="Q4" s="52"/>
      <c r="R4" s="52"/>
      <c r="S4" s="52"/>
      <c r="T4" s="52"/>
      <c r="U4" s="52"/>
      <c r="V4" s="52"/>
      <c r="W4" s="52"/>
      <c r="X4" s="52"/>
    </row>
    <row r="5" spans="1:24" x14ac:dyDescent="0.3">
      <c r="B5" s="83" t="s">
        <v>4</v>
      </c>
      <c r="F5" s="94">
        <f t="shared" ref="F5:F6" si="0">SUM(H5:L5)</f>
        <v>45719979439</v>
      </c>
      <c r="H5" s="94">
        <v>42651088157</v>
      </c>
      <c r="I5" s="60"/>
      <c r="J5" s="94">
        <v>910174648</v>
      </c>
      <c r="K5" s="60"/>
      <c r="L5" s="94">
        <v>2158716634</v>
      </c>
      <c r="P5" s="52" t="s">
        <v>5</v>
      </c>
      <c r="Q5" s="52"/>
      <c r="R5" s="52"/>
      <c r="S5" s="52"/>
      <c r="T5" s="52"/>
    </row>
    <row r="6" spans="1:24" x14ac:dyDescent="0.3">
      <c r="B6" s="83" t="s">
        <v>6</v>
      </c>
      <c r="E6" s="69" t="str">
        <f>IF(F5-F6=F7,"","ERROR")</f>
        <v/>
      </c>
      <c r="F6" s="94">
        <f t="shared" si="0"/>
        <v>41206314259</v>
      </c>
      <c r="H6" s="94">
        <v>38036856757</v>
      </c>
      <c r="I6" s="60"/>
      <c r="J6" s="94">
        <v>933865445</v>
      </c>
      <c r="K6" s="60"/>
      <c r="L6" s="94">
        <v>2235592057</v>
      </c>
    </row>
    <row r="7" spans="1:24" ht="15" thickBot="1" x14ac:dyDescent="0.35">
      <c r="B7" s="83" t="s">
        <v>7</v>
      </c>
      <c r="F7" s="95">
        <f>SUM(H7:L7)</f>
        <v>4513665180</v>
      </c>
      <c r="H7" s="95">
        <f>+H5-H6</f>
        <v>4614231400</v>
      </c>
      <c r="I7" s="94"/>
      <c r="J7" s="95">
        <f>+J5-J6</f>
        <v>-23690797</v>
      </c>
      <c r="K7" s="94"/>
      <c r="L7" s="95">
        <f>+L5-L6</f>
        <v>-76875423</v>
      </c>
    </row>
    <row r="8" spans="1:24" ht="15" thickTop="1" x14ac:dyDescent="0.3">
      <c r="B8" s="83" t="s">
        <v>8</v>
      </c>
      <c r="F8" s="96">
        <f>F6/F5</f>
        <v>0.90127587030037548</v>
      </c>
      <c r="H8" s="96" t="s">
        <v>9</v>
      </c>
      <c r="I8" s="97"/>
      <c r="J8" s="96" t="s">
        <v>9</v>
      </c>
      <c r="K8" s="97"/>
      <c r="L8" s="96" t="s">
        <v>9</v>
      </c>
    </row>
    <row r="10" spans="1:24" ht="15" thickBot="1" x14ac:dyDescent="0.35">
      <c r="B10" s="83" t="s">
        <v>45</v>
      </c>
      <c r="C10" s="83"/>
      <c r="F10" s="98">
        <f>SUM(H10:L10)</f>
        <v>419063410</v>
      </c>
      <c r="H10" s="98">
        <v>392084708</v>
      </c>
      <c r="J10" s="98">
        <v>4251409</v>
      </c>
      <c r="L10" s="98">
        <v>22727293</v>
      </c>
    </row>
    <row r="11" spans="1:24" ht="15" thickTop="1" x14ac:dyDescent="0.3">
      <c r="F11" s="94"/>
      <c r="H11" s="94"/>
      <c r="J11" s="94"/>
      <c r="L11" s="94"/>
      <c r="P11" s="99"/>
    </row>
    <row r="12" spans="1:24" x14ac:dyDescent="0.3">
      <c r="B12" s="83" t="s">
        <v>46</v>
      </c>
    </row>
    <row r="13" spans="1:24" x14ac:dyDescent="0.3">
      <c r="C13" s="69" t="s">
        <v>10</v>
      </c>
      <c r="F13" s="94">
        <f>SUM(H13:L13)</f>
        <v>481872571</v>
      </c>
      <c r="H13" s="94">
        <v>390370185</v>
      </c>
      <c r="J13" s="94">
        <v>24802604</v>
      </c>
      <c r="L13" s="94">
        <v>66699782</v>
      </c>
    </row>
    <row r="14" spans="1:24" x14ac:dyDescent="0.3">
      <c r="C14" s="69" t="s">
        <v>11</v>
      </c>
      <c r="F14" s="94">
        <f>SUM(H14:L14)</f>
        <v>0</v>
      </c>
      <c r="H14" s="94">
        <v>0</v>
      </c>
      <c r="J14" s="94">
        <v>0</v>
      </c>
      <c r="L14" s="94">
        <v>0</v>
      </c>
    </row>
    <row r="15" spans="1:24" x14ac:dyDescent="0.3">
      <c r="C15" s="69" t="s">
        <v>12</v>
      </c>
      <c r="F15" s="94">
        <f>SUM(H15:L15)</f>
        <v>3487855642</v>
      </c>
      <c r="H15" s="94">
        <v>3221844611</v>
      </c>
      <c r="J15" s="94">
        <v>81617689</v>
      </c>
      <c r="L15" s="94">
        <v>184393342</v>
      </c>
    </row>
    <row r="16" spans="1:24" ht="15" thickBot="1" x14ac:dyDescent="0.35">
      <c r="C16" s="69" t="s">
        <v>13</v>
      </c>
      <c r="F16" s="95">
        <f>SUM(H16:L16)</f>
        <v>3969728213</v>
      </c>
      <c r="H16" s="95">
        <f>SUM(H13:H15)</f>
        <v>3612214796</v>
      </c>
      <c r="J16" s="95">
        <f>SUM(J13:J15)</f>
        <v>106420293</v>
      </c>
      <c r="L16" s="95">
        <f>SUM(L13:L15)</f>
        <v>251093124</v>
      </c>
    </row>
    <row r="17" spans="1:24" ht="15" thickTop="1" x14ac:dyDescent="0.3">
      <c r="F17" s="94"/>
      <c r="H17" s="94"/>
      <c r="J17" s="94"/>
      <c r="L17" s="94"/>
    </row>
    <row r="18" spans="1:24" x14ac:dyDescent="0.3">
      <c r="B18" s="83" t="s">
        <v>47</v>
      </c>
    </row>
    <row r="19" spans="1:24" x14ac:dyDescent="0.3">
      <c r="C19" s="69" t="s">
        <v>10</v>
      </c>
      <c r="F19" s="94">
        <f>SUM(H19:L19)</f>
        <v>18995334</v>
      </c>
      <c r="H19" s="94">
        <v>18966079</v>
      </c>
      <c r="J19" s="94">
        <v>29255</v>
      </c>
      <c r="L19" s="94">
        <v>0</v>
      </c>
    </row>
    <row r="20" spans="1:24" x14ac:dyDescent="0.3">
      <c r="C20" s="69" t="s">
        <v>11</v>
      </c>
      <c r="F20" s="94">
        <f>SUM(H20:L20)</f>
        <v>26780301</v>
      </c>
      <c r="H20" s="94">
        <v>73148</v>
      </c>
      <c r="J20" s="94">
        <v>6339555</v>
      </c>
      <c r="L20" s="94">
        <v>20367598</v>
      </c>
    </row>
    <row r="21" spans="1:24" x14ac:dyDescent="0.3">
      <c r="C21" s="69" t="s">
        <v>12</v>
      </c>
      <c r="F21" s="94">
        <f>SUM(H21:L21)</f>
        <v>3022454103</v>
      </c>
      <c r="H21" s="94">
        <v>2794510885</v>
      </c>
      <c r="J21" s="94">
        <v>66788948</v>
      </c>
      <c r="L21" s="94">
        <v>161154270</v>
      </c>
      <c r="N21" s="83" t="s">
        <v>14</v>
      </c>
      <c r="P21" s="100" t="s">
        <v>15</v>
      </c>
      <c r="Q21" s="83"/>
      <c r="R21" s="286" t="s">
        <v>16</v>
      </c>
      <c r="S21" s="286"/>
      <c r="T21" s="286"/>
      <c r="U21" s="286"/>
      <c r="V21" s="286"/>
      <c r="W21" s="83"/>
    </row>
    <row r="22" spans="1:24" ht="15" thickBot="1" x14ac:dyDescent="0.35">
      <c r="C22" s="69" t="s">
        <v>13</v>
      </c>
      <c r="F22" s="95">
        <f>SUM(H22:L22)</f>
        <v>3068229738</v>
      </c>
      <c r="H22" s="95">
        <f>SUM(H19:H21)</f>
        <v>2813550112</v>
      </c>
      <c r="J22" s="95">
        <f>SUM(J19:J21)</f>
        <v>73157758</v>
      </c>
      <c r="L22" s="95">
        <f>SUM(L19:L21)</f>
        <v>181521868</v>
      </c>
      <c r="N22" s="100" t="s">
        <v>17</v>
      </c>
      <c r="P22" s="100" t="s">
        <v>18</v>
      </c>
      <c r="Q22" s="100"/>
      <c r="R22" s="100"/>
      <c r="S22" s="100"/>
      <c r="T22" s="100" t="s">
        <v>19</v>
      </c>
      <c r="U22" s="100"/>
      <c r="V22" s="100" t="s">
        <v>20</v>
      </c>
      <c r="W22" s="100"/>
    </row>
    <row r="23" spans="1:24" ht="15" thickTop="1" x14ac:dyDescent="0.3">
      <c r="N23" s="244" t="s">
        <v>21</v>
      </c>
      <c r="P23" s="244" t="s">
        <v>13</v>
      </c>
      <c r="R23" s="244" t="s">
        <v>22</v>
      </c>
      <c r="T23" s="244" t="s">
        <v>23</v>
      </c>
      <c r="V23" s="244" t="s">
        <v>24</v>
      </c>
      <c r="X23" s="244" t="s">
        <v>25</v>
      </c>
    </row>
    <row r="24" spans="1:24" ht="15" thickBot="1" x14ac:dyDescent="0.35">
      <c r="A24" s="83" t="s">
        <v>283</v>
      </c>
      <c r="F24" s="94">
        <f>SUM(H24:L24)</f>
        <v>0</v>
      </c>
      <c r="G24" s="94"/>
      <c r="H24" s="272"/>
      <c r="I24" s="273"/>
      <c r="J24" s="272"/>
      <c r="K24" s="273"/>
      <c r="L24" s="272"/>
      <c r="N24" s="101">
        <f>SUM(H24:L24)</f>
        <v>0</v>
      </c>
      <c r="P24" s="84">
        <f>SUM(R24:V24)</f>
        <v>0</v>
      </c>
      <c r="R24" s="210"/>
      <c r="S24" s="94"/>
      <c r="T24" s="210"/>
      <c r="U24" s="94"/>
      <c r="V24" s="210"/>
      <c r="X24" s="101">
        <f>N24-P24</f>
        <v>0</v>
      </c>
    </row>
    <row r="25" spans="1:24" ht="15" thickTop="1" x14ac:dyDescent="0.3">
      <c r="C25" s="69" t="s">
        <v>26</v>
      </c>
    </row>
    <row r="26" spans="1:24" x14ac:dyDescent="0.3">
      <c r="A26" s="83" t="s">
        <v>292</v>
      </c>
      <c r="E26" s="69" t="s">
        <v>27</v>
      </c>
      <c r="F26" s="94">
        <f>SUM(H26:L26)</f>
        <v>902844572</v>
      </c>
      <c r="H26" s="94">
        <v>847492449</v>
      </c>
      <c r="I26" s="94"/>
      <c r="J26" s="94">
        <v>12808322</v>
      </c>
      <c r="K26" s="94"/>
      <c r="L26" s="94">
        <v>42543801</v>
      </c>
      <c r="N26" s="83"/>
    </row>
    <row r="27" spans="1:24" x14ac:dyDescent="0.3">
      <c r="C27" s="69" t="s">
        <v>28</v>
      </c>
      <c r="N27" s="84"/>
    </row>
    <row r="28" spans="1:24" x14ac:dyDescent="0.3">
      <c r="B28" s="83" t="s">
        <v>29</v>
      </c>
      <c r="C28" s="83"/>
      <c r="H28" s="85">
        <f>H24/H26</f>
        <v>0</v>
      </c>
      <c r="I28" s="86"/>
      <c r="J28" s="85">
        <f>J24/J26</f>
        <v>0</v>
      </c>
      <c r="K28" s="86"/>
      <c r="L28" s="85">
        <f>L24/L26</f>
        <v>0</v>
      </c>
    </row>
    <row r="29" spans="1:24" x14ac:dyDescent="0.3">
      <c r="B29" s="83" t="s">
        <v>30</v>
      </c>
      <c r="F29" s="87"/>
      <c r="H29" s="211"/>
      <c r="I29" s="86"/>
      <c r="J29" s="211"/>
      <c r="K29" s="86"/>
      <c r="L29" s="211"/>
    </row>
    <row r="30" spans="1:24" ht="15" thickBot="1" x14ac:dyDescent="0.35">
      <c r="C30" s="69" t="s">
        <v>31</v>
      </c>
      <c r="F30" s="87"/>
      <c r="H30" s="88">
        <f>H28-H29</f>
        <v>0</v>
      </c>
      <c r="J30" s="88">
        <f>J28-J29</f>
        <v>0</v>
      </c>
      <c r="L30" s="88">
        <f>L28-L29</f>
        <v>0</v>
      </c>
    </row>
    <row r="31" spans="1:24" ht="21.6" thickTop="1" x14ac:dyDescent="0.4">
      <c r="F31" s="285" t="str">
        <f>+F1</f>
        <v>IPERS June 30, 2023 Collective Pension Amounts</v>
      </c>
      <c r="G31" s="285"/>
      <c r="H31" s="285"/>
      <c r="I31" s="285"/>
      <c r="J31" s="285"/>
      <c r="K31" s="285"/>
      <c r="L31" s="285"/>
    </row>
    <row r="32" spans="1:24" x14ac:dyDescent="0.3">
      <c r="A32" s="83" t="s">
        <v>48</v>
      </c>
    </row>
    <row r="33" spans="1:24" x14ac:dyDescent="0.3">
      <c r="B33" s="69" t="s">
        <v>32</v>
      </c>
      <c r="F33" s="94">
        <f>SUM(H33:L33)</f>
        <v>10095082421</v>
      </c>
      <c r="H33" s="94">
        <v>9810884104</v>
      </c>
      <c r="I33" s="94"/>
      <c r="J33" s="94">
        <v>89607137</v>
      </c>
      <c r="K33" s="94"/>
      <c r="L33" s="94">
        <v>194591180</v>
      </c>
      <c r="N33" s="84"/>
      <c r="X33" s="84"/>
    </row>
    <row r="34" spans="1:24" x14ac:dyDescent="0.3">
      <c r="B34" s="69" t="s">
        <v>33</v>
      </c>
      <c r="F34" s="94">
        <f>SUM(H34:L34)</f>
        <v>4513665180</v>
      </c>
      <c r="H34" s="94">
        <v>4614231400</v>
      </c>
      <c r="I34" s="94"/>
      <c r="J34" s="94">
        <v>-23690797</v>
      </c>
      <c r="K34" s="94"/>
      <c r="L34" s="94">
        <v>-76875423</v>
      </c>
      <c r="N34" s="84"/>
      <c r="X34" s="84"/>
    </row>
    <row r="35" spans="1:24" x14ac:dyDescent="0.3">
      <c r="B35" s="69" t="s">
        <v>34</v>
      </c>
      <c r="F35" s="94">
        <f>SUM(H35:L35)</f>
        <v>-163910415</v>
      </c>
      <c r="H35" s="94">
        <v>259350648</v>
      </c>
      <c r="I35" s="94"/>
      <c r="J35" s="94">
        <v>-118774298</v>
      </c>
      <c r="K35" s="94"/>
      <c r="L35" s="94">
        <v>-304486765</v>
      </c>
      <c r="N35" s="84"/>
      <c r="X35" s="84"/>
    </row>
    <row r="37" spans="1:24" x14ac:dyDescent="0.3">
      <c r="A37" s="83" t="s">
        <v>35</v>
      </c>
    </row>
    <row r="38" spans="1:24" x14ac:dyDescent="0.3">
      <c r="B38" s="69" t="s">
        <v>32</v>
      </c>
      <c r="H38" s="84">
        <f>H28*H33</f>
        <v>0</v>
      </c>
      <c r="J38" s="102">
        <f>J28*J33</f>
        <v>0</v>
      </c>
      <c r="K38" s="97"/>
      <c r="L38" s="102">
        <f>L28*L33</f>
        <v>0</v>
      </c>
      <c r="N38" s="84">
        <f>SUM(H38:L38)</f>
        <v>0</v>
      </c>
      <c r="P38" s="84">
        <f>R38+T38+V38</f>
        <v>0</v>
      </c>
      <c r="R38" s="210"/>
      <c r="T38" s="210"/>
      <c r="V38" s="210"/>
      <c r="X38" s="103">
        <f>N38-P38</f>
        <v>0</v>
      </c>
    </row>
    <row r="39" spans="1:24" x14ac:dyDescent="0.3">
      <c r="B39" s="69" t="s">
        <v>33</v>
      </c>
      <c r="H39" s="84">
        <f>H28*H7</f>
        <v>0</v>
      </c>
      <c r="J39" s="102">
        <f>J28*J7</f>
        <v>0</v>
      </c>
      <c r="K39" s="97"/>
      <c r="L39" s="102">
        <f>L28*L7</f>
        <v>0</v>
      </c>
      <c r="N39" s="84">
        <f>SUM(H39:L39)</f>
        <v>0</v>
      </c>
      <c r="P39" s="84">
        <f>R39+T39+V39</f>
        <v>0</v>
      </c>
      <c r="R39" s="210"/>
      <c r="T39" s="210"/>
      <c r="V39" s="210"/>
      <c r="X39" s="103">
        <f>N39-P39</f>
        <v>0</v>
      </c>
    </row>
    <row r="40" spans="1:24" x14ac:dyDescent="0.3">
      <c r="B40" s="69" t="s">
        <v>34</v>
      </c>
      <c r="H40" s="84">
        <f>H28*H35</f>
        <v>0</v>
      </c>
      <c r="J40" s="102">
        <f>J28*J35</f>
        <v>0</v>
      </c>
      <c r="K40" s="97"/>
      <c r="L40" s="102">
        <f>L28*L35</f>
        <v>0</v>
      </c>
      <c r="N40" s="84">
        <f>SUM(H40:L40)</f>
        <v>0</v>
      </c>
      <c r="P40" s="84">
        <f>R40+T40+V40</f>
        <v>0</v>
      </c>
      <c r="R40" s="210"/>
      <c r="T40" s="210"/>
      <c r="V40" s="210"/>
      <c r="X40" s="103">
        <f>N40-P40</f>
        <v>0</v>
      </c>
    </row>
    <row r="41" spans="1:24" x14ac:dyDescent="0.3">
      <c r="J41" s="97"/>
      <c r="K41" s="97"/>
      <c r="L41" s="97"/>
      <c r="X41" s="84"/>
    </row>
    <row r="42" spans="1:24" x14ac:dyDescent="0.3">
      <c r="A42" s="83" t="s">
        <v>36</v>
      </c>
      <c r="J42" s="97"/>
      <c r="K42" s="97"/>
      <c r="L42" s="97"/>
      <c r="X42" s="84"/>
    </row>
    <row r="43" spans="1:24" x14ac:dyDescent="0.3">
      <c r="C43" s="69" t="s">
        <v>10</v>
      </c>
      <c r="H43" s="84">
        <f>H28*H13</f>
        <v>0</v>
      </c>
      <c r="J43" s="102">
        <f>J28*J13</f>
        <v>0</v>
      </c>
      <c r="K43" s="104"/>
      <c r="L43" s="102">
        <f>L28*L13</f>
        <v>0</v>
      </c>
      <c r="N43" s="102">
        <f>SUM(H43:L43)</f>
        <v>0</v>
      </c>
      <c r="P43" s="84">
        <f>R43+T43+V43</f>
        <v>0</v>
      </c>
      <c r="R43" s="210"/>
      <c r="T43" s="210"/>
      <c r="V43" s="210"/>
      <c r="X43" s="103">
        <f>N43-P43</f>
        <v>0</v>
      </c>
    </row>
    <row r="44" spans="1:24" x14ac:dyDescent="0.3">
      <c r="C44" s="69" t="s">
        <v>11</v>
      </c>
      <c r="H44" s="84">
        <f>H28*H14</f>
        <v>0</v>
      </c>
      <c r="J44" s="102">
        <f>J28*J14</f>
        <v>0</v>
      </c>
      <c r="K44" s="104"/>
      <c r="L44" s="102">
        <f>L28*L14</f>
        <v>0</v>
      </c>
      <c r="N44" s="102">
        <f>SUM(H44:L44)</f>
        <v>0</v>
      </c>
      <c r="P44" s="84">
        <f>R44+T44+V44</f>
        <v>0</v>
      </c>
      <c r="R44" s="210"/>
      <c r="T44" s="210"/>
      <c r="V44" s="210"/>
      <c r="X44" s="103">
        <f>N44-P44</f>
        <v>0</v>
      </c>
    </row>
    <row r="45" spans="1:24" x14ac:dyDescent="0.3">
      <c r="C45" s="69" t="s">
        <v>12</v>
      </c>
      <c r="H45" s="84">
        <f>H28*H15</f>
        <v>0</v>
      </c>
      <c r="J45" s="102">
        <f>J28*J15</f>
        <v>0</v>
      </c>
      <c r="K45" s="104"/>
      <c r="L45" s="102">
        <f>L28*L15</f>
        <v>0</v>
      </c>
      <c r="N45" s="102">
        <f>SUM(H45:L45)</f>
        <v>0</v>
      </c>
      <c r="P45" s="84">
        <f>R45+T45+V45</f>
        <v>0</v>
      </c>
      <c r="R45" s="210"/>
      <c r="T45" s="210"/>
      <c r="V45" s="210"/>
      <c r="X45" s="105">
        <f>N45-P45</f>
        <v>0</v>
      </c>
    </row>
    <row r="46" spans="1:24" ht="15" thickBot="1" x14ac:dyDescent="0.35">
      <c r="C46" s="69" t="s">
        <v>37</v>
      </c>
      <c r="H46" s="101">
        <f>SUM(H43:H45)</f>
        <v>0</v>
      </c>
      <c r="J46" s="106">
        <f>SUM(J43:J45)</f>
        <v>0</v>
      </c>
      <c r="K46" s="104"/>
      <c r="L46" s="106">
        <f>SUM(L43:L45)</f>
        <v>0</v>
      </c>
      <c r="N46" s="106">
        <f>SUM(H46:L46)</f>
        <v>0</v>
      </c>
      <c r="P46" s="84">
        <f>R46+T46+V46</f>
        <v>0</v>
      </c>
      <c r="R46" s="53">
        <f>SUM(R43:R45)</f>
        <v>0</v>
      </c>
      <c r="T46" s="53">
        <f>SUM(T43:T45)</f>
        <v>0</v>
      </c>
      <c r="V46" s="238">
        <f>SUM(V43:V45)</f>
        <v>0</v>
      </c>
      <c r="X46" s="101">
        <f>N46-P46</f>
        <v>0</v>
      </c>
    </row>
    <row r="47" spans="1:24" ht="15" thickTop="1" x14ac:dyDescent="0.3">
      <c r="J47" s="97"/>
      <c r="K47" s="97"/>
      <c r="L47" s="97"/>
      <c r="N47" s="97"/>
      <c r="X47" s="84"/>
    </row>
    <row r="48" spans="1:24" x14ac:dyDescent="0.3">
      <c r="A48" s="83" t="s">
        <v>38</v>
      </c>
      <c r="J48" s="97"/>
      <c r="K48" s="97"/>
      <c r="L48" s="97"/>
      <c r="N48" s="97"/>
      <c r="X48" s="84"/>
    </row>
    <row r="49" spans="1:24" x14ac:dyDescent="0.3">
      <c r="C49" s="69" t="s">
        <v>10</v>
      </c>
      <c r="H49" s="107">
        <f>H28*H19</f>
        <v>0</v>
      </c>
      <c r="I49" s="107"/>
      <c r="J49" s="108">
        <f>J28*J19</f>
        <v>0</v>
      </c>
      <c r="K49" s="108"/>
      <c r="L49" s="108">
        <f>L28*L19</f>
        <v>0</v>
      </c>
      <c r="N49" s="108">
        <f>SUM(H49:L49)</f>
        <v>0</v>
      </c>
      <c r="P49" s="84">
        <f>R49+T49+V49</f>
        <v>0</v>
      </c>
      <c r="R49" s="210"/>
      <c r="T49" s="210"/>
      <c r="V49" s="210"/>
      <c r="X49" s="103">
        <f>N49-P49</f>
        <v>0</v>
      </c>
    </row>
    <row r="50" spans="1:24" x14ac:dyDescent="0.3">
      <c r="C50" s="69" t="s">
        <v>11</v>
      </c>
      <c r="H50" s="107">
        <f>H28*H20</f>
        <v>0</v>
      </c>
      <c r="I50" s="107"/>
      <c r="J50" s="108">
        <f>J28*J20</f>
        <v>0</v>
      </c>
      <c r="K50" s="108"/>
      <c r="L50" s="108">
        <f>L28*L20</f>
        <v>0</v>
      </c>
      <c r="N50" s="108">
        <f>SUM(H50:L50)</f>
        <v>0</v>
      </c>
      <c r="P50" s="84">
        <f>R50+T50+V50</f>
        <v>0</v>
      </c>
      <c r="R50" s="210"/>
      <c r="T50" s="210"/>
      <c r="V50" s="210"/>
      <c r="X50" s="103">
        <f>N50-P50</f>
        <v>0</v>
      </c>
    </row>
    <row r="51" spans="1:24" x14ac:dyDescent="0.3">
      <c r="C51" s="69" t="s">
        <v>12</v>
      </c>
      <c r="H51" s="107">
        <f>H28*H21</f>
        <v>0</v>
      </c>
      <c r="I51" s="107"/>
      <c r="J51" s="108">
        <f>J28*J21</f>
        <v>0</v>
      </c>
      <c r="K51" s="108"/>
      <c r="L51" s="108">
        <f>L28*L21</f>
        <v>0</v>
      </c>
      <c r="N51" s="108">
        <f>SUM(H51:L51)</f>
        <v>0</v>
      </c>
      <c r="P51" s="84">
        <f>R51+T51+V51</f>
        <v>0</v>
      </c>
      <c r="R51" s="210"/>
      <c r="T51" s="210"/>
      <c r="V51" s="210"/>
      <c r="X51" s="103">
        <f>N51-P51</f>
        <v>0</v>
      </c>
    </row>
    <row r="52" spans="1:24" ht="15" thickBot="1" x14ac:dyDescent="0.35">
      <c r="C52" s="69" t="s">
        <v>37</v>
      </c>
      <c r="H52" s="101">
        <f>SUM(H49:H51)</f>
        <v>0</v>
      </c>
      <c r="J52" s="101">
        <f>SUM(J49:J51)</f>
        <v>0</v>
      </c>
      <c r="L52" s="101">
        <f>SUM(L49:L51)</f>
        <v>0</v>
      </c>
      <c r="N52" s="101">
        <f>SUM(H52:L52)</f>
        <v>0</v>
      </c>
      <c r="P52" s="84">
        <f>R52+T52+V52</f>
        <v>0</v>
      </c>
      <c r="R52" s="53">
        <f>SUM(R49:R51)</f>
        <v>0</v>
      </c>
      <c r="T52" s="54">
        <f>SUM(T49:T51)</f>
        <v>0</v>
      </c>
      <c r="V52" s="53">
        <f>SUM(V49:V51)</f>
        <v>0</v>
      </c>
      <c r="X52" s="101">
        <f>N52-P52</f>
        <v>0</v>
      </c>
    </row>
    <row r="53" spans="1:24" ht="15" thickTop="1" x14ac:dyDescent="0.3">
      <c r="X53" s="84"/>
    </row>
    <row r="54" spans="1:24" ht="15" thickBot="1" x14ac:dyDescent="0.35">
      <c r="A54" s="83" t="s">
        <v>39</v>
      </c>
      <c r="H54" s="101">
        <f>H28*H10</f>
        <v>0</v>
      </c>
      <c r="I54" s="84"/>
      <c r="J54" s="101">
        <f>J28*J10</f>
        <v>0</v>
      </c>
      <c r="K54" s="84"/>
      <c r="L54" s="101">
        <f>L28*L10</f>
        <v>0</v>
      </c>
      <c r="M54" s="84"/>
      <c r="N54" s="101">
        <f>SUM(H54:L54)</f>
        <v>0</v>
      </c>
      <c r="P54" s="84">
        <f>R54+T54+V54</f>
        <v>0</v>
      </c>
      <c r="R54" s="210"/>
      <c r="T54" s="210"/>
      <c r="V54" s="210"/>
      <c r="X54" s="101">
        <f>N54-P54</f>
        <v>0</v>
      </c>
    </row>
    <row r="55" spans="1:24" ht="15" thickTop="1" x14ac:dyDescent="0.3">
      <c r="C55" s="69" t="s">
        <v>40</v>
      </c>
    </row>
    <row r="57" spans="1:24" ht="15" thickBot="1" x14ac:dyDescent="0.35">
      <c r="A57" s="83" t="s">
        <v>41</v>
      </c>
      <c r="E57" s="250">
        <v>5.4</v>
      </c>
      <c r="F57" s="69" t="s">
        <v>42</v>
      </c>
    </row>
    <row r="58" spans="1:24" ht="15" thickTop="1" x14ac:dyDescent="0.3"/>
    <row r="59" spans="1:24" x14ac:dyDescent="0.3">
      <c r="A59" s="69" t="s">
        <v>27</v>
      </c>
      <c r="B59" s="69" t="s">
        <v>44</v>
      </c>
    </row>
    <row r="61" spans="1:24" x14ac:dyDescent="0.3">
      <c r="A61" s="93"/>
      <c r="B61" s="93"/>
      <c r="C61" s="93"/>
      <c r="D61" s="93"/>
      <c r="E61" s="93"/>
    </row>
  </sheetData>
  <mergeCells count="3">
    <mergeCell ref="F1:L1"/>
    <mergeCell ref="R21:V21"/>
    <mergeCell ref="F31:L31"/>
  </mergeCells>
  <pageMargins left="0.7" right="0.7" top="0.75" bottom="0.75" header="0.3" footer="0.3"/>
  <pageSetup scale="55" orientation="landscape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4"/>
  <sheetViews>
    <sheetView topLeftCell="A66" zoomScale="80" zoomScaleNormal="80" zoomScalePageLayoutView="87" workbookViewId="0">
      <selection activeCell="H98" sqref="H98"/>
    </sheetView>
  </sheetViews>
  <sheetFormatPr defaultColWidth="9.109375" defaultRowHeight="14.4" x14ac:dyDescent="0.3"/>
  <cols>
    <col min="1" max="1" width="2.6640625" style="69" customWidth="1"/>
    <col min="2" max="4" width="9.109375" style="69"/>
    <col min="5" max="5" width="15.6640625" style="69" customWidth="1"/>
    <col min="6" max="6" width="5.44140625" style="110" customWidth="1"/>
    <col min="7" max="7" width="17.88671875" style="69" customWidth="1"/>
    <col min="8" max="8" width="18.5546875" style="69" customWidth="1"/>
    <col min="9" max="9" width="5.44140625" style="110" customWidth="1"/>
    <col min="10" max="10" width="18" style="69" bestFit="1" customWidth="1"/>
    <col min="11" max="11" width="5.33203125" style="110" customWidth="1"/>
    <col min="12" max="12" width="18.44140625" style="69" bestFit="1" customWidth="1"/>
    <col min="13" max="13" width="16.6640625" style="69" bestFit="1" customWidth="1"/>
    <col min="14" max="14" width="13.88671875" style="69" customWidth="1"/>
    <col min="15" max="15" width="15.33203125" style="69" customWidth="1"/>
    <col min="16" max="16384" width="9.109375" style="69"/>
  </cols>
  <sheetData>
    <row r="1" spans="1:13" ht="18" x14ac:dyDescent="0.35">
      <c r="A1" s="109" t="s">
        <v>266</v>
      </c>
      <c r="G1" s="111"/>
    </row>
    <row r="2" spans="1:13" ht="18" x14ac:dyDescent="0.35">
      <c r="A2" s="109"/>
    </row>
    <row r="3" spans="1:13" x14ac:dyDescent="0.3">
      <c r="A3" s="112" t="s">
        <v>50</v>
      </c>
      <c r="B3" s="112"/>
      <c r="C3" s="112"/>
      <c r="D3" s="112"/>
      <c r="E3" s="112"/>
      <c r="F3" s="113"/>
      <c r="G3" s="112"/>
      <c r="H3" s="112"/>
    </row>
    <row r="4" spans="1:13" x14ac:dyDescent="0.3">
      <c r="L4" s="99" t="s">
        <v>51</v>
      </c>
      <c r="M4" s="99" t="s">
        <v>51</v>
      </c>
    </row>
    <row r="5" spans="1:13" x14ac:dyDescent="0.3">
      <c r="A5" s="83" t="s">
        <v>52</v>
      </c>
      <c r="B5" s="83"/>
      <c r="C5" s="83"/>
      <c r="D5" s="83"/>
      <c r="E5" s="83"/>
      <c r="J5" s="99"/>
      <c r="K5" s="99"/>
      <c r="L5" s="99" t="s">
        <v>53</v>
      </c>
      <c r="M5" s="99" t="s">
        <v>54</v>
      </c>
    </row>
    <row r="6" spans="1:13" ht="15" thickBot="1" x14ac:dyDescent="0.35">
      <c r="J6" s="100" t="s">
        <v>7</v>
      </c>
      <c r="K6" s="100"/>
      <c r="L6" s="244" t="s">
        <v>55</v>
      </c>
      <c r="M6" s="244" t="s">
        <v>55</v>
      </c>
    </row>
    <row r="7" spans="1:13" ht="15" thickBot="1" x14ac:dyDescent="0.35">
      <c r="B7" s="69" t="s">
        <v>293</v>
      </c>
      <c r="J7" s="114">
        <f>'2023 Data'!$H$7</f>
        <v>4614231400</v>
      </c>
    </row>
    <row r="8" spans="1:13" ht="15" thickBot="1" x14ac:dyDescent="0.35">
      <c r="C8" s="69" t="s">
        <v>56</v>
      </c>
      <c r="J8" s="89"/>
      <c r="L8" s="114">
        <f>'2023 Data'!H13</f>
        <v>390370185</v>
      </c>
      <c r="M8" s="114">
        <f>'2023 Data'!H19</f>
        <v>18966079</v>
      </c>
    </row>
    <row r="9" spans="1:13" ht="15" thickBot="1" x14ac:dyDescent="0.35">
      <c r="C9" s="69" t="s">
        <v>57</v>
      </c>
      <c r="J9" s="89"/>
      <c r="L9" s="114">
        <f>'2023 Data'!H14</f>
        <v>0</v>
      </c>
      <c r="M9" s="114">
        <f>'2023 Data'!H20</f>
        <v>73148</v>
      </c>
    </row>
    <row r="10" spans="1:13" x14ac:dyDescent="0.3">
      <c r="C10" s="69" t="s">
        <v>58</v>
      </c>
      <c r="J10" s="89"/>
      <c r="L10" s="115">
        <f>'2023 Data'!H15</f>
        <v>3221844611</v>
      </c>
      <c r="M10" s="115">
        <f>'2023 Data'!H21</f>
        <v>2794510885</v>
      </c>
    </row>
    <row r="11" spans="1:13" ht="15" thickBot="1" x14ac:dyDescent="0.35">
      <c r="C11" s="69" t="s">
        <v>59</v>
      </c>
      <c r="J11" s="89"/>
      <c r="L11" s="95">
        <f>SUM(L8:L10)</f>
        <v>3612214796</v>
      </c>
      <c r="M11" s="95">
        <f>SUM(M8:M10)</f>
        <v>2813550112</v>
      </c>
    </row>
    <row r="12" spans="1:13" ht="15.6" thickTop="1" thickBot="1" x14ac:dyDescent="0.35">
      <c r="G12" s="116" t="s">
        <v>60</v>
      </c>
      <c r="H12" s="110" t="s">
        <v>61</v>
      </c>
      <c r="J12" s="94"/>
      <c r="K12" s="117"/>
      <c r="L12" s="94"/>
      <c r="M12" s="94"/>
    </row>
    <row r="13" spans="1:13" ht="15" thickBot="1" x14ac:dyDescent="0.35">
      <c r="B13" s="69" t="s">
        <v>62</v>
      </c>
      <c r="G13" s="118">
        <f>'2023 Data'!$H$29</f>
        <v>0</v>
      </c>
      <c r="H13" s="107">
        <f>J7*G13</f>
        <v>0</v>
      </c>
      <c r="J13" s="114">
        <f>'2023 Data'!$R$39</f>
        <v>0</v>
      </c>
      <c r="K13" s="117"/>
    </row>
    <row r="14" spans="1:13" ht="15" thickBot="1" x14ac:dyDescent="0.35">
      <c r="C14" s="69" t="s">
        <v>56</v>
      </c>
      <c r="K14" s="117"/>
      <c r="L14" s="114">
        <f>'2023 Data'!R43</f>
        <v>0</v>
      </c>
      <c r="M14" s="114">
        <f>'2023 Data'!R49</f>
        <v>0</v>
      </c>
    </row>
    <row r="15" spans="1:13" ht="15" thickBot="1" x14ac:dyDescent="0.35">
      <c r="C15" s="69" t="s">
        <v>57</v>
      </c>
      <c r="H15" s="103"/>
      <c r="K15" s="117"/>
      <c r="L15" s="114">
        <f>'2023 Data'!R44</f>
        <v>0</v>
      </c>
      <c r="M15" s="114">
        <f>'2023 Data'!R50</f>
        <v>0</v>
      </c>
    </row>
    <row r="16" spans="1:13" ht="15" thickBot="1" x14ac:dyDescent="0.35">
      <c r="C16" s="69" t="s">
        <v>58</v>
      </c>
      <c r="H16" s="103"/>
      <c r="K16" s="117"/>
      <c r="L16" s="115">
        <f>'2023 Data'!R45</f>
        <v>0</v>
      </c>
      <c r="M16" s="115">
        <f>'2023 Data'!R51</f>
        <v>0</v>
      </c>
    </row>
    <row r="17" spans="1:14" ht="14.4" customHeight="1" thickBot="1" x14ac:dyDescent="0.35">
      <c r="C17" s="69" t="s">
        <v>63</v>
      </c>
      <c r="G17" s="110" t="s">
        <v>64</v>
      </c>
      <c r="H17" s="97"/>
      <c r="J17" s="94"/>
      <c r="K17" s="117"/>
      <c r="L17" s="119">
        <f>SUM(L14:L16)</f>
        <v>0</v>
      </c>
      <c r="M17" s="119">
        <f>SUM(M14:M16)</f>
        <v>0</v>
      </c>
    </row>
    <row r="18" spans="1:14" ht="15.6" thickTop="1" thickBot="1" x14ac:dyDescent="0.35">
      <c r="B18" s="69" t="s">
        <v>65</v>
      </c>
      <c r="G18" s="118">
        <f>'2024 Data'!$H$29</f>
        <v>0</v>
      </c>
      <c r="H18" s="116"/>
      <c r="I18" s="116"/>
      <c r="J18" s="94"/>
      <c r="K18" s="117"/>
    </row>
    <row r="19" spans="1:14" x14ac:dyDescent="0.3">
      <c r="H19" s="120"/>
      <c r="I19" s="121"/>
      <c r="J19" s="94"/>
      <c r="K19" s="117"/>
      <c r="L19" s="94"/>
      <c r="M19" s="94"/>
    </row>
    <row r="20" spans="1:14" x14ac:dyDescent="0.3">
      <c r="A20" s="83" t="s">
        <v>66</v>
      </c>
      <c r="C20" s="83"/>
      <c r="D20" s="83"/>
      <c r="E20" s="83"/>
      <c r="F20" s="99"/>
    </row>
    <row r="21" spans="1:14" x14ac:dyDescent="0.3">
      <c r="B21" s="122" t="s">
        <v>67</v>
      </c>
      <c r="C21" s="122"/>
      <c r="D21" s="122"/>
      <c r="E21" s="122"/>
      <c r="F21" s="244"/>
      <c r="L21" s="94"/>
    </row>
    <row r="22" spans="1:14" ht="15" thickBot="1" x14ac:dyDescent="0.35">
      <c r="B22" s="83"/>
      <c r="C22" s="83"/>
      <c r="D22" s="83"/>
      <c r="E22" s="83"/>
      <c r="F22" s="99"/>
      <c r="H22" s="123"/>
    </row>
    <row r="23" spans="1:14" ht="15" thickBot="1" x14ac:dyDescent="0.35">
      <c r="B23" s="69" t="s">
        <v>68</v>
      </c>
      <c r="G23" s="83"/>
      <c r="H23" s="83"/>
      <c r="I23" s="99"/>
      <c r="L23" s="114">
        <f>'2024 Data'!$H$26</f>
        <v>883342240</v>
      </c>
    </row>
    <row r="24" spans="1:14" x14ac:dyDescent="0.3">
      <c r="G24" s="83"/>
      <c r="H24" s="83"/>
      <c r="I24" s="99"/>
      <c r="N24" s="124"/>
    </row>
    <row r="25" spans="1:14" ht="15" thickBot="1" x14ac:dyDescent="0.35">
      <c r="B25" s="69" t="s">
        <v>69</v>
      </c>
      <c r="G25" s="83"/>
      <c r="H25" s="83"/>
      <c r="I25" s="99"/>
    </row>
    <row r="26" spans="1:14" ht="13.5" customHeight="1" thickBot="1" x14ac:dyDescent="0.35">
      <c r="B26" s="69" t="s">
        <v>70</v>
      </c>
      <c r="D26" s="69" t="s">
        <v>71</v>
      </c>
      <c r="L26" s="114">
        <f>L23*G18</f>
        <v>0</v>
      </c>
    </row>
    <row r="27" spans="1:14" ht="15" thickBot="1" x14ac:dyDescent="0.35"/>
    <row r="28" spans="1:14" ht="15" thickBot="1" x14ac:dyDescent="0.35">
      <c r="B28" s="69" t="s">
        <v>72</v>
      </c>
      <c r="L28" s="114">
        <f>'2024 Data'!$R$24</f>
        <v>0</v>
      </c>
    </row>
    <row r="30" spans="1:14" ht="15" thickBot="1" x14ac:dyDescent="0.35">
      <c r="B30" s="83" t="s">
        <v>73</v>
      </c>
      <c r="C30" s="83"/>
      <c r="D30" s="83"/>
      <c r="E30" s="83"/>
      <c r="F30" s="99"/>
      <c r="G30" s="83"/>
      <c r="L30" s="95">
        <f>L26-L28</f>
        <v>0</v>
      </c>
    </row>
    <row r="31" spans="1:14" ht="15" thickTop="1" x14ac:dyDescent="0.3"/>
    <row r="33" spans="1:15" x14ac:dyDescent="0.3">
      <c r="A33" s="125" t="s">
        <v>74</v>
      </c>
      <c r="J33" s="286" t="s">
        <v>75</v>
      </c>
      <c r="K33" s="286"/>
      <c r="L33" s="286"/>
      <c r="N33" s="122" t="s">
        <v>76</v>
      </c>
      <c r="O33" s="126"/>
    </row>
    <row r="34" spans="1:15" x14ac:dyDescent="0.3">
      <c r="J34" s="251">
        <v>45107</v>
      </c>
      <c r="K34" s="251"/>
      <c r="L34" s="251">
        <v>45473</v>
      </c>
    </row>
    <row r="35" spans="1:15" x14ac:dyDescent="0.3">
      <c r="J35" s="127">
        <f>G13</f>
        <v>0</v>
      </c>
      <c r="K35" s="128"/>
      <c r="L35" s="127">
        <f>G18</f>
        <v>0</v>
      </c>
      <c r="N35" s="110" t="s">
        <v>77</v>
      </c>
      <c r="O35" s="110" t="s">
        <v>78</v>
      </c>
    </row>
    <row r="36" spans="1:15" ht="15" thickBot="1" x14ac:dyDescent="0.35">
      <c r="A36" s="120" t="s">
        <v>79</v>
      </c>
      <c r="J36" s="244" t="s">
        <v>80</v>
      </c>
      <c r="K36" s="244"/>
      <c r="L36" s="244" t="s">
        <v>81</v>
      </c>
      <c r="N36" s="129" t="s">
        <v>82</v>
      </c>
      <c r="O36" s="129" t="s">
        <v>82</v>
      </c>
    </row>
    <row r="37" spans="1:15" ht="15" thickBot="1" x14ac:dyDescent="0.35">
      <c r="B37" s="69" t="s">
        <v>83</v>
      </c>
      <c r="D37" s="130"/>
      <c r="J37" s="94">
        <f>L14</f>
        <v>0</v>
      </c>
      <c r="L37" s="114">
        <f>'2024 Data'!R43</f>
        <v>0</v>
      </c>
      <c r="N37" s="94">
        <f>L37-J37</f>
        <v>0</v>
      </c>
    </row>
    <row r="38" spans="1:15" ht="15" thickBot="1" x14ac:dyDescent="0.35">
      <c r="B38" s="69" t="s">
        <v>84</v>
      </c>
      <c r="J38" s="94">
        <f>L15</f>
        <v>0</v>
      </c>
      <c r="L38" s="114">
        <f>'2024 Data'!R44</f>
        <v>0</v>
      </c>
      <c r="N38" s="94">
        <f>L38-J38</f>
        <v>0</v>
      </c>
      <c r="O38" s="94"/>
    </row>
    <row r="39" spans="1:15" ht="15" thickBot="1" x14ac:dyDescent="0.35">
      <c r="B39" s="69" t="s">
        <v>85</v>
      </c>
      <c r="J39" s="94">
        <f>L16</f>
        <v>0</v>
      </c>
      <c r="L39" s="114">
        <f>'2024 Data'!R45</f>
        <v>0</v>
      </c>
      <c r="N39" s="94">
        <f>L39-J39</f>
        <v>0</v>
      </c>
      <c r="O39" s="94"/>
    </row>
    <row r="40" spans="1:15" ht="15" thickBot="1" x14ac:dyDescent="0.35">
      <c r="A40" s="131" t="s">
        <v>86</v>
      </c>
      <c r="B40" s="120"/>
      <c r="N40" s="94"/>
      <c r="O40" s="94"/>
    </row>
    <row r="41" spans="1:15" ht="15" thickBot="1" x14ac:dyDescent="0.35">
      <c r="B41" s="69" t="s">
        <v>83</v>
      </c>
      <c r="J41" s="94">
        <f>M14</f>
        <v>0</v>
      </c>
      <c r="L41" s="114">
        <f>'2024 Data'!R49</f>
        <v>0</v>
      </c>
      <c r="N41" s="94"/>
      <c r="O41" s="94">
        <f>L41-J41</f>
        <v>0</v>
      </c>
    </row>
    <row r="42" spans="1:15" ht="15" thickBot="1" x14ac:dyDescent="0.35">
      <c r="B42" s="69" t="s">
        <v>84</v>
      </c>
      <c r="J42" s="94">
        <f>M15</f>
        <v>0</v>
      </c>
      <c r="L42" s="114">
        <f>'2024 Data'!R50</f>
        <v>0</v>
      </c>
      <c r="N42" s="94"/>
      <c r="O42" s="94">
        <f>L42-J42</f>
        <v>0</v>
      </c>
    </row>
    <row r="43" spans="1:15" ht="15" thickBot="1" x14ac:dyDescent="0.35">
      <c r="B43" s="69" t="s">
        <v>85</v>
      </c>
      <c r="J43" s="94">
        <f>M16</f>
        <v>0</v>
      </c>
      <c r="L43" s="114">
        <f>'2024 Data'!R51</f>
        <v>0</v>
      </c>
      <c r="N43" s="94"/>
      <c r="O43" s="94">
        <f>L43-J43</f>
        <v>0</v>
      </c>
    </row>
    <row r="44" spans="1:15" ht="15" thickBot="1" x14ac:dyDescent="0.35">
      <c r="N44" s="94"/>
      <c r="O44" s="94"/>
    </row>
    <row r="45" spans="1:15" ht="15" thickBot="1" x14ac:dyDescent="0.35">
      <c r="A45" s="120" t="s">
        <v>7</v>
      </c>
      <c r="J45" s="94">
        <f>J13</f>
        <v>0</v>
      </c>
      <c r="K45" s="117"/>
      <c r="L45" s="114">
        <f>'2024 Data'!$R$39</f>
        <v>0</v>
      </c>
      <c r="O45" s="94">
        <f>(L45-J45)</f>
        <v>0</v>
      </c>
    </row>
    <row r="46" spans="1:15" ht="15" thickBot="1" x14ac:dyDescent="0.35">
      <c r="A46" s="120"/>
      <c r="E46" s="110"/>
      <c r="H46" s="110" t="s">
        <v>87</v>
      </c>
      <c r="N46" s="94"/>
      <c r="O46" s="94"/>
    </row>
    <row r="47" spans="1:15" ht="15" thickBot="1" x14ac:dyDescent="0.35">
      <c r="A47" s="120" t="s">
        <v>88</v>
      </c>
      <c r="E47" s="114">
        <f>'2024 Data'!$H$10</f>
        <v>424437299</v>
      </c>
      <c r="G47" s="69" t="s">
        <v>89</v>
      </c>
      <c r="H47" s="114">
        <f>'2024 Data'!$H$54</f>
        <v>0</v>
      </c>
      <c r="J47" s="127">
        <f>G18</f>
        <v>0</v>
      </c>
      <c r="K47" s="132"/>
      <c r="L47" s="98">
        <f>ROUND(E47*J47,0)</f>
        <v>0</v>
      </c>
      <c r="N47" s="94"/>
      <c r="O47" s="94"/>
    </row>
    <row r="48" spans="1:15" x14ac:dyDescent="0.3">
      <c r="A48" s="120"/>
      <c r="E48" s="110" t="s">
        <v>90</v>
      </c>
      <c r="H48" s="110"/>
      <c r="J48" s="127" t="s">
        <v>91</v>
      </c>
      <c r="L48" s="110" t="s">
        <v>61</v>
      </c>
      <c r="M48" s="84"/>
    </row>
    <row r="49" spans="1:15" x14ac:dyDescent="0.3">
      <c r="A49" s="120"/>
      <c r="E49" s="110"/>
      <c r="H49" s="110"/>
      <c r="J49" s="127"/>
      <c r="L49" s="110"/>
      <c r="M49" s="84"/>
    </row>
    <row r="50" spans="1:15" x14ac:dyDescent="0.3">
      <c r="A50" s="120"/>
      <c r="E50" s="110"/>
      <c r="H50" s="110"/>
      <c r="J50" s="127"/>
      <c r="L50" s="110"/>
      <c r="M50" s="84"/>
    </row>
    <row r="51" spans="1:15" x14ac:dyDescent="0.3">
      <c r="A51" s="120"/>
      <c r="E51" s="110"/>
      <c r="H51" s="110"/>
      <c r="J51" s="127"/>
      <c r="L51" s="110"/>
      <c r="M51" s="84"/>
    </row>
    <row r="54" spans="1:15" x14ac:dyDescent="0.3">
      <c r="A54" s="93" t="s">
        <v>92</v>
      </c>
    </row>
    <row r="55" spans="1:15" x14ac:dyDescent="0.3">
      <c r="B55" s="69" t="s">
        <v>93</v>
      </c>
    </row>
    <row r="56" spans="1:15" x14ac:dyDescent="0.3">
      <c r="J56" s="286" t="s">
        <v>75</v>
      </c>
      <c r="K56" s="286"/>
      <c r="L56" s="286"/>
      <c r="N56" s="122" t="s">
        <v>76</v>
      </c>
      <c r="O56" s="126"/>
    </row>
    <row r="57" spans="1:15" x14ac:dyDescent="0.3">
      <c r="H57" s="99" t="s">
        <v>286</v>
      </c>
      <c r="J57" s="251">
        <f>+J34</f>
        <v>45107</v>
      </c>
      <c r="K57" s="251"/>
      <c r="L57" s="251">
        <f>+L34</f>
        <v>45473</v>
      </c>
    </row>
    <row r="58" spans="1:15" x14ac:dyDescent="0.3">
      <c r="H58" s="100" t="s">
        <v>285</v>
      </c>
      <c r="J58" s="127">
        <f>G13</f>
        <v>0</v>
      </c>
      <c r="K58" s="128"/>
      <c r="L58" s="127">
        <f>L35</f>
        <v>0</v>
      </c>
      <c r="N58" s="110" t="s">
        <v>77</v>
      </c>
      <c r="O58" s="110" t="s">
        <v>78</v>
      </c>
    </row>
    <row r="59" spans="1:15" x14ac:dyDescent="0.3">
      <c r="H59" s="277">
        <f>+J34</f>
        <v>45107</v>
      </c>
      <c r="J59" s="244" t="s">
        <v>80</v>
      </c>
      <c r="K59" s="244"/>
      <c r="L59" s="244" t="s">
        <v>81</v>
      </c>
      <c r="N59" s="129" t="s">
        <v>82</v>
      </c>
      <c r="O59" s="129" t="s">
        <v>82</v>
      </c>
    </row>
    <row r="61" spans="1:15" x14ac:dyDescent="0.3">
      <c r="B61" s="69" t="s">
        <v>46</v>
      </c>
      <c r="H61" s="94">
        <f>L11</f>
        <v>3612214796</v>
      </c>
      <c r="J61" s="84">
        <f>ROUND(H61*J58,0)</f>
        <v>0</v>
      </c>
      <c r="K61" s="134"/>
      <c r="L61" s="84">
        <f>ROUND(H61*L58,0)</f>
        <v>0</v>
      </c>
      <c r="N61" s="84">
        <f>L61-J61</f>
        <v>0</v>
      </c>
      <c r="O61" s="84"/>
    </row>
    <row r="62" spans="1:15" x14ac:dyDescent="0.3">
      <c r="H62" s="94"/>
      <c r="J62" s="84"/>
      <c r="K62" s="134"/>
      <c r="L62" s="84"/>
      <c r="N62" s="135"/>
    </row>
    <row r="63" spans="1:15" x14ac:dyDescent="0.3">
      <c r="B63" s="69" t="s">
        <v>94</v>
      </c>
      <c r="H63" s="94">
        <f>M11</f>
        <v>2813550112</v>
      </c>
      <c r="J63" s="84">
        <f>ROUND(H63*J58,0)</f>
        <v>0</v>
      </c>
      <c r="K63" s="134"/>
      <c r="L63" s="84">
        <f>ROUND(H63*L58,0)</f>
        <v>0</v>
      </c>
      <c r="O63" s="84">
        <f>L63-J63</f>
        <v>0</v>
      </c>
    </row>
    <row r="64" spans="1:15" x14ac:dyDescent="0.3">
      <c r="J64" s="84"/>
      <c r="K64" s="134"/>
      <c r="L64" s="84"/>
      <c r="N64" s="135"/>
    </row>
    <row r="65" spans="1:15" x14ac:dyDescent="0.3">
      <c r="B65" s="69" t="s">
        <v>7</v>
      </c>
      <c r="H65" s="84">
        <f>J7</f>
        <v>4614231400</v>
      </c>
      <c r="J65" s="84">
        <f>ROUND(H65*J58,0)</f>
        <v>0</v>
      </c>
      <c r="K65" s="134"/>
      <c r="L65" s="84">
        <f>ROUND(H65*L58,0)</f>
        <v>0</v>
      </c>
      <c r="N65" s="126"/>
      <c r="O65" s="105">
        <f>L65-J65</f>
        <v>0</v>
      </c>
    </row>
    <row r="67" spans="1:15" x14ac:dyDescent="0.3">
      <c r="C67" s="69" t="s">
        <v>95</v>
      </c>
      <c r="N67" s="89">
        <f>SUM(N61:N65)</f>
        <v>0</v>
      </c>
      <c r="O67" s="89">
        <f>SUM(O61:O65)</f>
        <v>0</v>
      </c>
    </row>
    <row r="69" spans="1:15" x14ac:dyDescent="0.3">
      <c r="C69" s="69" t="s">
        <v>96</v>
      </c>
      <c r="H69" s="83"/>
      <c r="N69" s="84">
        <f>+O67-N67</f>
        <v>0</v>
      </c>
    </row>
    <row r="70" spans="1:15" x14ac:dyDescent="0.3">
      <c r="C70" s="69" t="s">
        <v>97</v>
      </c>
      <c r="N70" s="136"/>
      <c r="O70" s="136"/>
    </row>
    <row r="71" spans="1:15" x14ac:dyDescent="0.3">
      <c r="N71" s="94"/>
      <c r="O71" s="94"/>
    </row>
    <row r="72" spans="1:15" ht="15" thickBot="1" x14ac:dyDescent="0.35">
      <c r="C72" s="83" t="s">
        <v>98</v>
      </c>
      <c r="D72" s="83"/>
      <c r="E72" s="83"/>
      <c r="F72" s="99"/>
      <c r="G72" s="83"/>
      <c r="N72" s="98">
        <f>N67+N69</f>
        <v>0</v>
      </c>
      <c r="O72" s="98">
        <f>O67+O69</f>
        <v>0</v>
      </c>
    </row>
    <row r="73" spans="1:15" ht="15" thickTop="1" x14ac:dyDescent="0.3">
      <c r="J73" s="99" t="s">
        <v>267</v>
      </c>
    </row>
    <row r="74" spans="1:15" x14ac:dyDescent="0.3">
      <c r="J74" s="99" t="s">
        <v>268</v>
      </c>
      <c r="K74" s="99"/>
    </row>
    <row r="75" spans="1:15" x14ac:dyDescent="0.3">
      <c r="A75" s="93" t="s">
        <v>99</v>
      </c>
      <c r="J75" s="254">
        <f>+L34</f>
        <v>45473</v>
      </c>
      <c r="K75" s="99"/>
      <c r="L75" s="99" t="s">
        <v>100</v>
      </c>
    </row>
    <row r="76" spans="1:15" x14ac:dyDescent="0.3">
      <c r="B76" s="69" t="s">
        <v>101</v>
      </c>
      <c r="J76" s="127">
        <f>L35</f>
        <v>0</v>
      </c>
      <c r="K76" s="137"/>
      <c r="L76" s="99" t="s">
        <v>102</v>
      </c>
      <c r="N76" s="99" t="s">
        <v>25</v>
      </c>
    </row>
    <row r="77" spans="1:15" x14ac:dyDescent="0.3">
      <c r="H77" s="122" t="s">
        <v>103</v>
      </c>
      <c r="J77" s="244" t="s">
        <v>80</v>
      </c>
      <c r="K77" s="244"/>
      <c r="L77" s="244" t="s">
        <v>81</v>
      </c>
      <c r="N77" s="244" t="s">
        <v>82</v>
      </c>
    </row>
    <row r="78" spans="1:15" x14ac:dyDescent="0.3">
      <c r="B78" s="69" t="s">
        <v>104</v>
      </c>
      <c r="H78" s="214">
        <v>884878205</v>
      </c>
      <c r="J78" s="84">
        <f>ROUND(H78*J76,0)</f>
        <v>0</v>
      </c>
      <c r="K78" s="134"/>
      <c r="L78" s="94">
        <f>+L28</f>
        <v>0</v>
      </c>
      <c r="N78" s="84">
        <f>ROUND(L78-J78,0)</f>
        <v>0</v>
      </c>
    </row>
    <row r="79" spans="1:15" x14ac:dyDescent="0.3">
      <c r="B79" s="69" t="s">
        <v>312</v>
      </c>
      <c r="H79" s="84"/>
    </row>
    <row r="80" spans="1:15" x14ac:dyDescent="0.3">
      <c r="B80" s="69" t="s">
        <v>302</v>
      </c>
    </row>
    <row r="81" spans="1:12" x14ac:dyDescent="0.3">
      <c r="B81" s="69" t="s">
        <v>303</v>
      </c>
    </row>
    <row r="82" spans="1:12" x14ac:dyDescent="0.3">
      <c r="A82" s="83" t="s">
        <v>105</v>
      </c>
      <c r="B82" s="83"/>
      <c r="C82" s="83"/>
      <c r="D82" s="83"/>
      <c r="E82" s="83"/>
      <c r="F82" s="99"/>
      <c r="G82" s="83"/>
      <c r="H82" s="99" t="s">
        <v>79</v>
      </c>
      <c r="J82" s="99" t="s">
        <v>106</v>
      </c>
      <c r="K82" s="99"/>
      <c r="L82" s="99" t="s">
        <v>107</v>
      </c>
    </row>
    <row r="83" spans="1:12" x14ac:dyDescent="0.3">
      <c r="A83" s="133" t="s">
        <v>108</v>
      </c>
      <c r="B83" s="125" t="s">
        <v>109</v>
      </c>
      <c r="C83" s="133"/>
      <c r="D83" s="133"/>
      <c r="E83" s="133"/>
      <c r="F83" s="100"/>
      <c r="G83" s="133"/>
      <c r="H83" s="244" t="s">
        <v>110</v>
      </c>
      <c r="J83" s="244" t="s">
        <v>111</v>
      </c>
      <c r="K83" s="244"/>
      <c r="L83" s="244" t="s">
        <v>112</v>
      </c>
    </row>
    <row r="84" spans="1:12" x14ac:dyDescent="0.3">
      <c r="C84" s="69" t="s">
        <v>113</v>
      </c>
    </row>
    <row r="85" spans="1:12" x14ac:dyDescent="0.3">
      <c r="I85" s="99"/>
    </row>
    <row r="86" spans="1:12" x14ac:dyDescent="0.3">
      <c r="B86" s="69" t="s">
        <v>114</v>
      </c>
      <c r="H86" s="67">
        <f>J86-L86</f>
        <v>0</v>
      </c>
      <c r="I86" s="138"/>
      <c r="J86" s="67">
        <f>$N$69</f>
        <v>0</v>
      </c>
      <c r="K86" s="68"/>
      <c r="L86" s="67">
        <f>ROUND(N69/H94,0)</f>
        <v>0</v>
      </c>
    </row>
    <row r="87" spans="1:12" x14ac:dyDescent="0.3">
      <c r="H87" s="67"/>
      <c r="I87" s="139"/>
      <c r="J87" s="67"/>
      <c r="K87" s="68"/>
      <c r="L87" s="140"/>
    </row>
    <row r="88" spans="1:12" x14ac:dyDescent="0.3">
      <c r="B88" s="69" t="s">
        <v>115</v>
      </c>
      <c r="H88" s="141">
        <f>+N78-L88</f>
        <v>0</v>
      </c>
      <c r="I88" s="139"/>
      <c r="J88" s="141">
        <f>$N$78</f>
        <v>0</v>
      </c>
      <c r="K88" s="142"/>
      <c r="L88" s="141">
        <f>ROUND(+N78/H94,0)</f>
        <v>0</v>
      </c>
    </row>
    <row r="89" spans="1:12" x14ac:dyDescent="0.3">
      <c r="H89" s="67"/>
      <c r="I89" s="68"/>
      <c r="J89" s="67"/>
      <c r="K89" s="68"/>
    </row>
    <row r="90" spans="1:12" ht="15" thickBot="1" x14ac:dyDescent="0.35">
      <c r="C90" s="83" t="s">
        <v>116</v>
      </c>
      <c r="H90" s="143">
        <f>H86+H88</f>
        <v>0</v>
      </c>
      <c r="I90" s="68"/>
      <c r="J90" s="143">
        <f>J86+J88</f>
        <v>0</v>
      </c>
      <c r="K90" s="144"/>
      <c r="L90" s="143">
        <f>L86+L88</f>
        <v>0</v>
      </c>
    </row>
    <row r="91" spans="1:12" ht="15" thickTop="1" x14ac:dyDescent="0.3">
      <c r="H91" s="145"/>
      <c r="I91" s="146"/>
      <c r="J91" s="145"/>
      <c r="K91" s="147"/>
      <c r="L91" s="145"/>
    </row>
    <row r="92" spans="1:12" x14ac:dyDescent="0.3">
      <c r="H92" s="97" t="s">
        <v>117</v>
      </c>
      <c r="I92" s="99"/>
      <c r="L92" s="97" t="s">
        <v>118</v>
      </c>
    </row>
    <row r="93" spans="1:12" x14ac:dyDescent="0.3">
      <c r="H93" s="145"/>
      <c r="I93" s="147"/>
      <c r="J93" s="145"/>
      <c r="K93" s="147"/>
      <c r="L93" s="145"/>
    </row>
    <row r="94" spans="1:12" x14ac:dyDescent="0.3">
      <c r="B94" s="69" t="s">
        <v>119</v>
      </c>
      <c r="H94" s="252">
        <f>'2024 Data'!$E$57</f>
        <v>5.36</v>
      </c>
      <c r="I94" s="116"/>
      <c r="J94" s="145" t="s">
        <v>42</v>
      </c>
      <c r="K94" s="147"/>
    </row>
    <row r="95" spans="1:12" x14ac:dyDescent="0.3">
      <c r="H95" s="147"/>
      <c r="J95" s="145"/>
      <c r="K95" s="147"/>
      <c r="L95" s="145"/>
    </row>
    <row r="96" spans="1:12" x14ac:dyDescent="0.3">
      <c r="I96" s="116"/>
      <c r="J96" s="145"/>
      <c r="K96" s="147"/>
      <c r="L96" s="145"/>
    </row>
    <row r="97" spans="1:12" x14ac:dyDescent="0.3">
      <c r="I97" s="116"/>
      <c r="J97" s="145"/>
      <c r="K97" s="147"/>
      <c r="L97" s="145"/>
    </row>
    <row r="98" spans="1:12" x14ac:dyDescent="0.3">
      <c r="I98" s="116"/>
      <c r="J98" s="145"/>
      <c r="K98" s="147"/>
      <c r="L98" s="145"/>
    </row>
    <row r="99" spans="1:12" x14ac:dyDescent="0.3">
      <c r="I99" s="116"/>
      <c r="J99" s="145"/>
      <c r="K99" s="147"/>
      <c r="L99" s="145"/>
    </row>
    <row r="100" spans="1:12" x14ac:dyDescent="0.3">
      <c r="I100" s="116"/>
      <c r="J100" s="145"/>
      <c r="K100" s="147"/>
      <c r="L100" s="145"/>
    </row>
    <row r="101" spans="1:12" x14ac:dyDescent="0.3">
      <c r="I101" s="116"/>
      <c r="J101" s="145"/>
      <c r="K101" s="147"/>
      <c r="L101" s="145"/>
    </row>
    <row r="102" spans="1:12" x14ac:dyDescent="0.3">
      <c r="I102" s="116"/>
      <c r="J102" s="145"/>
      <c r="K102" s="147"/>
      <c r="L102" s="145"/>
    </row>
    <row r="103" spans="1:12" x14ac:dyDescent="0.3">
      <c r="I103" s="116"/>
      <c r="J103" s="145"/>
      <c r="K103" s="147"/>
      <c r="L103" s="145"/>
    </row>
    <row r="104" spans="1:12" x14ac:dyDescent="0.3">
      <c r="I104" s="116"/>
      <c r="J104" s="145"/>
      <c r="K104" s="147"/>
      <c r="L104" s="145"/>
    </row>
    <row r="105" spans="1:12" x14ac:dyDescent="0.3">
      <c r="I105" s="116"/>
      <c r="J105" s="145"/>
      <c r="K105" s="147"/>
      <c r="L105" s="145"/>
    </row>
    <row r="106" spans="1:12" x14ac:dyDescent="0.3">
      <c r="I106" s="116"/>
      <c r="J106" s="145"/>
      <c r="K106" s="147"/>
      <c r="L106" s="145"/>
    </row>
    <row r="107" spans="1:12" x14ac:dyDescent="0.3">
      <c r="I107" s="116"/>
      <c r="J107" s="145"/>
      <c r="K107" s="147"/>
      <c r="L107" s="145"/>
    </row>
    <row r="108" spans="1:12" x14ac:dyDescent="0.3">
      <c r="I108" s="116"/>
      <c r="J108" s="145"/>
      <c r="K108" s="147"/>
      <c r="L108" s="145"/>
    </row>
    <row r="109" spans="1:12" x14ac:dyDescent="0.3">
      <c r="I109" s="116"/>
      <c r="J109" s="145"/>
      <c r="K109" s="147"/>
      <c r="L109" s="145"/>
    </row>
    <row r="110" spans="1:12" x14ac:dyDescent="0.3">
      <c r="I110" s="116"/>
      <c r="J110" s="145"/>
      <c r="K110" s="147"/>
      <c r="L110" s="145"/>
    </row>
    <row r="111" spans="1:12" s="93" customFormat="1" x14ac:dyDescent="0.3">
      <c r="A111" s="93" t="s">
        <v>294</v>
      </c>
      <c r="F111" s="146"/>
      <c r="I111" s="146"/>
      <c r="K111" s="146"/>
    </row>
    <row r="112" spans="1:12" ht="15" thickBot="1" x14ac:dyDescent="0.35">
      <c r="H112" s="148" t="s">
        <v>120</v>
      </c>
      <c r="I112" s="99"/>
      <c r="J112" s="148" t="s">
        <v>121</v>
      </c>
      <c r="K112" s="149"/>
    </row>
    <row r="113" spans="1:16" ht="15" thickTop="1" x14ac:dyDescent="0.3">
      <c r="A113" s="69" t="s">
        <v>79</v>
      </c>
      <c r="H113" s="149"/>
      <c r="I113" s="99"/>
      <c r="J113" s="149"/>
      <c r="K113" s="149"/>
    </row>
    <row r="114" spans="1:16" x14ac:dyDescent="0.3">
      <c r="B114" s="69" t="s">
        <v>122</v>
      </c>
      <c r="H114" s="94">
        <f>+N37</f>
        <v>0</v>
      </c>
      <c r="I114" s="117"/>
      <c r="J114" s="124">
        <v>0</v>
      </c>
      <c r="K114" s="150"/>
    </row>
    <row r="115" spans="1:16" x14ac:dyDescent="0.3">
      <c r="B115" s="69" t="s">
        <v>123</v>
      </c>
      <c r="H115" s="140">
        <f>+N38</f>
        <v>0</v>
      </c>
      <c r="I115" s="117"/>
      <c r="J115" s="124"/>
      <c r="K115" s="150"/>
    </row>
    <row r="116" spans="1:16" x14ac:dyDescent="0.3">
      <c r="B116" s="69" t="s">
        <v>124</v>
      </c>
      <c r="H116" s="84">
        <f>N39</f>
        <v>0</v>
      </c>
      <c r="I116" s="117"/>
      <c r="K116" s="150"/>
      <c r="L116" s="69" t="s">
        <v>125</v>
      </c>
    </row>
    <row r="117" spans="1:16" x14ac:dyDescent="0.3">
      <c r="B117" s="69" t="s">
        <v>126</v>
      </c>
      <c r="H117" s="140">
        <f>IF(H90&lt;0,0,H90)</f>
        <v>0</v>
      </c>
      <c r="K117" s="139"/>
    </row>
    <row r="118" spans="1:16" x14ac:dyDescent="0.3">
      <c r="A118" s="69" t="s">
        <v>45</v>
      </c>
    </row>
    <row r="119" spans="1:16" x14ac:dyDescent="0.3">
      <c r="B119" s="69" t="s">
        <v>45</v>
      </c>
      <c r="H119" s="67">
        <f>L47</f>
        <v>0</v>
      </c>
      <c r="I119" s="68"/>
      <c r="J119" s="67"/>
      <c r="K119" s="68"/>
    </row>
    <row r="120" spans="1:16" x14ac:dyDescent="0.3">
      <c r="B120" s="69" t="s">
        <v>127</v>
      </c>
      <c r="H120" s="67">
        <f>L90</f>
        <v>0</v>
      </c>
      <c r="I120" s="68"/>
      <c r="J120" s="67"/>
      <c r="K120" s="68"/>
    </row>
    <row r="121" spans="1:16" x14ac:dyDescent="0.3">
      <c r="B121" s="69" t="s">
        <v>128</v>
      </c>
      <c r="H121" s="212">
        <v>0</v>
      </c>
      <c r="I121" s="68"/>
      <c r="J121" s="67"/>
      <c r="K121" s="68"/>
    </row>
    <row r="122" spans="1:16" x14ac:dyDescent="0.3">
      <c r="A122" s="69" t="s">
        <v>86</v>
      </c>
      <c r="H122" s="67"/>
      <c r="I122" s="68"/>
      <c r="J122" s="67"/>
      <c r="K122" s="68"/>
    </row>
    <row r="123" spans="1:16" x14ac:dyDescent="0.3">
      <c r="B123" s="69" t="s">
        <v>129</v>
      </c>
      <c r="H123" s="67"/>
      <c r="I123" s="68"/>
      <c r="J123" s="67">
        <f>O41</f>
        <v>0</v>
      </c>
      <c r="K123" s="68"/>
    </row>
    <row r="124" spans="1:16" x14ac:dyDescent="0.3">
      <c r="B124" s="69" t="s">
        <v>130</v>
      </c>
      <c r="H124" s="67"/>
      <c r="I124" s="68"/>
      <c r="J124" s="59">
        <f>O42</f>
        <v>0</v>
      </c>
      <c r="K124" s="68"/>
    </row>
    <row r="125" spans="1:16" x14ac:dyDescent="0.3">
      <c r="B125" s="69" t="s">
        <v>131</v>
      </c>
      <c r="H125" s="94">
        <f>-O43</f>
        <v>0</v>
      </c>
      <c r="I125" s="68"/>
      <c r="K125" s="68"/>
      <c r="L125" s="69" t="s">
        <v>125</v>
      </c>
    </row>
    <row r="126" spans="1:16" x14ac:dyDescent="0.3">
      <c r="B126" s="69" t="s">
        <v>132</v>
      </c>
      <c r="H126" s="67"/>
      <c r="I126" s="68"/>
      <c r="J126" s="140">
        <f>IF(H90&lt;0,-H90,0)</f>
        <v>0</v>
      </c>
      <c r="K126" s="68"/>
    </row>
    <row r="127" spans="1:16" x14ac:dyDescent="0.3">
      <c r="A127" s="69" t="s">
        <v>133</v>
      </c>
      <c r="H127" s="67"/>
      <c r="I127" s="68"/>
      <c r="J127" s="67"/>
      <c r="K127" s="68"/>
    </row>
    <row r="128" spans="1:16" x14ac:dyDescent="0.3">
      <c r="B128" s="69" t="s">
        <v>304</v>
      </c>
      <c r="I128" s="68"/>
      <c r="J128" s="67">
        <f>L28</f>
        <v>0</v>
      </c>
      <c r="K128" s="68"/>
      <c r="L128" s="71" t="s">
        <v>134</v>
      </c>
      <c r="M128" s="72"/>
      <c r="N128" s="72"/>
      <c r="O128" s="72"/>
      <c r="P128" s="73"/>
    </row>
    <row r="129" spans="1:16" x14ac:dyDescent="0.3">
      <c r="A129" s="69" t="s">
        <v>135</v>
      </c>
      <c r="H129" s="67"/>
      <c r="I129" s="68"/>
      <c r="J129" s="67">
        <f>O45</f>
        <v>0</v>
      </c>
      <c r="K129" s="68"/>
    </row>
    <row r="130" spans="1:16" ht="28.5" customHeight="1" x14ac:dyDescent="0.3">
      <c r="A130" s="288" t="s">
        <v>136</v>
      </c>
      <c r="B130" s="288"/>
      <c r="C130" s="288"/>
      <c r="D130" s="288"/>
      <c r="E130" s="288"/>
      <c r="F130" s="288"/>
      <c r="G130" s="289"/>
      <c r="H130" s="210">
        <f>-'Reg - Amort'!O35</f>
        <v>0</v>
      </c>
      <c r="I130" s="68"/>
      <c r="J130" s="239">
        <f>+'Reg - Amort'!O20</f>
        <v>0</v>
      </c>
      <c r="K130" s="68"/>
      <c r="L130" s="287" t="s">
        <v>137</v>
      </c>
      <c r="M130" s="287"/>
      <c r="N130" s="287"/>
      <c r="O130" s="287"/>
      <c r="P130" s="287"/>
    </row>
    <row r="131" spans="1:16" x14ac:dyDescent="0.3">
      <c r="B131" s="69" t="s">
        <v>138</v>
      </c>
      <c r="H131" s="239">
        <f>+J130</f>
        <v>0</v>
      </c>
      <c r="I131" s="68"/>
      <c r="J131" s="239">
        <f>+H130</f>
        <v>0</v>
      </c>
      <c r="K131" s="68"/>
      <c r="L131" s="287"/>
      <c r="M131" s="287"/>
      <c r="N131" s="287"/>
      <c r="O131" s="287"/>
      <c r="P131" s="287"/>
    </row>
    <row r="132" spans="1:16" x14ac:dyDescent="0.3">
      <c r="H132" s="67"/>
      <c r="I132" s="68"/>
      <c r="J132" s="67"/>
      <c r="K132" s="68"/>
      <c r="L132" s="287"/>
      <c r="M132" s="287"/>
      <c r="N132" s="287"/>
      <c r="O132" s="287"/>
      <c r="P132" s="287"/>
    </row>
    <row r="133" spans="1:16" ht="15.75" customHeight="1" thickBot="1" x14ac:dyDescent="0.35">
      <c r="E133" s="69" t="s">
        <v>13</v>
      </c>
      <c r="H133" s="101">
        <f>SUM(H114:H132)</f>
        <v>0</v>
      </c>
      <c r="I133" s="151"/>
      <c r="J133" s="101">
        <f>SUM(J114:J132)</f>
        <v>0</v>
      </c>
      <c r="K133" s="152"/>
      <c r="L133" s="287"/>
      <c r="M133" s="287"/>
      <c r="N133" s="287"/>
      <c r="O133" s="287"/>
      <c r="P133" s="287"/>
    </row>
    <row r="134" spans="1:16" ht="15" thickTop="1" x14ac:dyDescent="0.3">
      <c r="L134" s="74"/>
      <c r="M134" s="74"/>
      <c r="N134" s="74"/>
      <c r="O134" s="74"/>
      <c r="P134" s="74"/>
    </row>
    <row r="135" spans="1:16" ht="15" thickBot="1" x14ac:dyDescent="0.35">
      <c r="G135" s="69" t="s">
        <v>139</v>
      </c>
      <c r="J135" s="153">
        <f>H133-J133</f>
        <v>0</v>
      </c>
      <c r="K135" s="152"/>
      <c r="L135" s="70"/>
      <c r="M135" s="70"/>
      <c r="N135" s="70"/>
      <c r="O135" s="70"/>
      <c r="P135" s="70"/>
    </row>
    <row r="136" spans="1:16" ht="15" thickTop="1" x14ac:dyDescent="0.3">
      <c r="B136" s="69" t="s">
        <v>295</v>
      </c>
      <c r="L136" s="70"/>
      <c r="M136" s="70"/>
      <c r="N136" s="70"/>
      <c r="O136" s="70"/>
      <c r="P136" s="70"/>
    </row>
    <row r="137" spans="1:16" x14ac:dyDescent="0.3">
      <c r="B137" s="69" t="s">
        <v>296</v>
      </c>
      <c r="L137" s="70"/>
      <c r="M137" s="70"/>
      <c r="N137" s="70"/>
      <c r="O137" s="70"/>
      <c r="P137" s="70"/>
    </row>
    <row r="138" spans="1:16" x14ac:dyDescent="0.3">
      <c r="L138" s="70"/>
      <c r="M138" s="70"/>
      <c r="N138" s="70"/>
      <c r="O138" s="70"/>
      <c r="P138" s="70"/>
    </row>
    <row r="139" spans="1:16" x14ac:dyDescent="0.3">
      <c r="L139" s="70"/>
      <c r="M139" s="70"/>
      <c r="N139" s="70"/>
      <c r="O139" s="70"/>
      <c r="P139" s="70"/>
    </row>
    <row r="140" spans="1:16" x14ac:dyDescent="0.3">
      <c r="A140" s="93"/>
      <c r="L140" s="70"/>
      <c r="M140" s="70"/>
      <c r="N140" s="70"/>
      <c r="O140" s="70"/>
      <c r="P140" s="70"/>
    </row>
    <row r="141" spans="1:16" x14ac:dyDescent="0.3">
      <c r="H141" s="94"/>
      <c r="I141" s="68"/>
      <c r="J141" s="67"/>
      <c r="K141" s="68"/>
      <c r="L141" s="70"/>
      <c r="M141" s="70"/>
      <c r="N141" s="70"/>
      <c r="O141" s="70"/>
      <c r="P141" s="70"/>
    </row>
    <row r="142" spans="1:16" x14ac:dyDescent="0.3">
      <c r="L142" s="70"/>
      <c r="M142" s="70"/>
      <c r="N142" s="70"/>
      <c r="O142" s="70"/>
      <c r="P142" s="70"/>
    </row>
    <row r="143" spans="1:16" x14ac:dyDescent="0.3">
      <c r="L143" s="70"/>
      <c r="M143" s="70"/>
      <c r="N143" s="70"/>
      <c r="O143" s="70"/>
      <c r="P143" s="70"/>
    </row>
    <row r="144" spans="1:16" x14ac:dyDescent="0.3">
      <c r="L144" s="70"/>
      <c r="M144" s="70"/>
      <c r="N144" s="70"/>
      <c r="O144" s="70"/>
      <c r="P144" s="70"/>
    </row>
  </sheetData>
  <mergeCells count="4">
    <mergeCell ref="L130:P133"/>
    <mergeCell ref="J33:L33"/>
    <mergeCell ref="J56:L56"/>
    <mergeCell ref="A130:G130"/>
  </mergeCells>
  <pageMargins left="0.7" right="0.7" top="0.75" bottom="0.75" header="0.3" footer="0.3"/>
  <pageSetup scale="64" fitToHeight="0" orientation="landscape" r:id="rId1"/>
  <headerFoot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8"/>
  <sheetViews>
    <sheetView topLeftCell="D8" zoomScale="80" zoomScaleNormal="80" workbookViewId="0">
      <selection activeCell="M24" sqref="M24"/>
    </sheetView>
  </sheetViews>
  <sheetFormatPr defaultRowHeight="14.4" x14ac:dyDescent="0.3"/>
  <cols>
    <col min="1" max="2" width="3.6640625" customWidth="1"/>
    <col min="3" max="3" width="13.109375" customWidth="1"/>
    <col min="4" max="4" width="11.88671875" customWidth="1"/>
    <col min="5" max="5" width="10.88671875" customWidth="1"/>
    <col min="7" max="7" width="16.33203125" customWidth="1"/>
    <col min="8" max="11" width="14.6640625" customWidth="1"/>
    <col min="12" max="12" width="16.88671875" customWidth="1"/>
    <col min="13" max="14" width="14.6640625" customWidth="1"/>
    <col min="15" max="16" width="16" customWidth="1"/>
    <col min="17" max="17" width="16" style="60" customWidth="1"/>
    <col min="18" max="18" width="13.88671875" style="60" customWidth="1"/>
    <col min="19" max="19" width="13.33203125" customWidth="1"/>
    <col min="20" max="20" width="13.33203125" style="60" customWidth="1"/>
  </cols>
  <sheetData>
    <row r="1" spans="1:22" ht="15.6" x14ac:dyDescent="0.3">
      <c r="A1" s="26" t="s">
        <v>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S1" s="60"/>
      <c r="U1" s="60"/>
    </row>
    <row r="3" spans="1:22" x14ac:dyDescent="0.3">
      <c r="A3" s="60"/>
      <c r="B3" s="5" t="s">
        <v>140</v>
      </c>
      <c r="C3" s="5"/>
      <c r="D3" s="5"/>
      <c r="E3" s="5"/>
      <c r="F3" s="5"/>
      <c r="G3" s="5"/>
      <c r="H3" s="5"/>
      <c r="I3" s="5" t="s">
        <v>141</v>
      </c>
      <c r="J3" s="5" t="s">
        <v>141</v>
      </c>
      <c r="K3" s="5"/>
      <c r="L3" s="60"/>
      <c r="M3" s="60"/>
      <c r="N3" s="60"/>
      <c r="O3" s="60"/>
      <c r="P3" s="60"/>
      <c r="S3" s="60"/>
      <c r="U3" s="60"/>
    </row>
    <row r="5" spans="1:22" x14ac:dyDescent="0.3">
      <c r="A5" s="60"/>
      <c r="B5" s="5" t="s">
        <v>142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S5" s="60"/>
      <c r="U5" s="60"/>
    </row>
    <row r="7" spans="1:22" x14ac:dyDescent="0.3">
      <c r="A7" s="60"/>
      <c r="B7" s="60"/>
      <c r="C7" s="60"/>
      <c r="D7" s="60"/>
      <c r="E7" s="60"/>
      <c r="F7" s="14"/>
      <c r="G7" s="14"/>
      <c r="H7" s="14"/>
      <c r="I7" s="290" t="s">
        <v>143</v>
      </c>
      <c r="J7" s="290"/>
      <c r="K7" s="290"/>
      <c r="L7" s="290"/>
      <c r="M7" s="290"/>
      <c r="N7" s="290"/>
      <c r="O7" s="290"/>
      <c r="P7" s="7"/>
      <c r="Q7" s="7"/>
      <c r="R7" s="7"/>
      <c r="S7" s="7"/>
      <c r="T7" s="7"/>
      <c r="U7" s="60"/>
    </row>
    <row r="8" spans="1:22" ht="30" customHeight="1" x14ac:dyDescent="0.3">
      <c r="A8" s="292" t="s">
        <v>144</v>
      </c>
      <c r="B8" s="292"/>
      <c r="C8" s="292"/>
      <c r="D8" s="292"/>
      <c r="E8" s="292"/>
      <c r="F8" s="66" t="s">
        <v>145</v>
      </c>
      <c r="G8" s="66" t="s">
        <v>146</v>
      </c>
      <c r="H8" s="66" t="s">
        <v>147</v>
      </c>
      <c r="I8" s="278">
        <f>+F10</f>
        <v>2019</v>
      </c>
      <c r="J8" s="278">
        <f>+F11</f>
        <v>2020</v>
      </c>
      <c r="K8" s="278">
        <f>+F12</f>
        <v>2021</v>
      </c>
      <c r="L8" s="278">
        <f>+F13</f>
        <v>2022</v>
      </c>
      <c r="M8" s="278">
        <f>+F14</f>
        <v>2023</v>
      </c>
      <c r="N8" s="278">
        <f>+F15</f>
        <v>2024</v>
      </c>
      <c r="O8" s="278">
        <f>+F16</f>
        <v>2025</v>
      </c>
      <c r="P8" s="278">
        <f>+O8+1</f>
        <v>2026</v>
      </c>
      <c r="Q8" s="278">
        <f t="shared" ref="Q8:T8" si="0">+P8+1</f>
        <v>2027</v>
      </c>
      <c r="R8" s="278">
        <f t="shared" si="0"/>
        <v>2028</v>
      </c>
      <c r="S8" s="278">
        <f t="shared" si="0"/>
        <v>2029</v>
      </c>
      <c r="T8" s="278">
        <f t="shared" si="0"/>
        <v>2030</v>
      </c>
      <c r="U8" s="60"/>
    </row>
    <row r="9" spans="1:22" x14ac:dyDescent="0.3">
      <c r="A9" s="60"/>
      <c r="B9" s="60" t="s">
        <v>148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2"/>
      <c r="N9" s="62"/>
      <c r="O9" s="62"/>
      <c r="P9" s="62"/>
      <c r="Q9" s="62"/>
      <c r="R9" s="62"/>
      <c r="S9" s="62"/>
      <c r="T9" s="62"/>
      <c r="U9" s="62"/>
      <c r="V9" s="62"/>
    </row>
    <row r="10" spans="1:22" x14ac:dyDescent="0.3">
      <c r="A10" s="60"/>
      <c r="B10" s="60"/>
      <c r="C10" s="60"/>
      <c r="D10" s="60"/>
      <c r="E10" s="60"/>
      <c r="F10" s="51">
        <v>2019</v>
      </c>
      <c r="G10" s="253">
        <v>5.28</v>
      </c>
      <c r="H10" s="44">
        <v>0</v>
      </c>
      <c r="I10" s="81">
        <f>ROUND(H10/G10,0)</f>
        <v>0</v>
      </c>
      <c r="J10" s="81">
        <f>ROUND(H10/G10,0)</f>
        <v>0</v>
      </c>
      <c r="K10" s="81">
        <f>ROUND(H10/G10,0)</f>
        <v>0</v>
      </c>
      <c r="L10" s="81">
        <f t="shared" ref="L10:L13" si="1">ROUND(H10/G10,0)</f>
        <v>0</v>
      </c>
      <c r="M10" s="81">
        <f t="shared" ref="M10:M14" si="2">ROUND(H10/G10,0)</f>
        <v>0</v>
      </c>
      <c r="N10" s="81">
        <f>H10-I10-J10-K10-L10-M10</f>
        <v>0</v>
      </c>
      <c r="O10" s="62"/>
      <c r="P10" s="79"/>
      <c r="Q10" s="79"/>
      <c r="R10" s="62"/>
      <c r="S10" s="62"/>
      <c r="T10" s="62"/>
      <c r="U10" s="270">
        <f t="shared" ref="U10:U14" si="3">SUM(I10:T10)-H10</f>
        <v>0</v>
      </c>
      <c r="V10" s="62"/>
    </row>
    <row r="11" spans="1:22" x14ac:dyDescent="0.3">
      <c r="A11" s="60"/>
      <c r="B11" s="60"/>
      <c r="C11" s="60"/>
      <c r="D11" s="60"/>
      <c r="E11" s="60"/>
      <c r="F11" s="51">
        <f t="shared" ref="F11:F16" si="4">+F10+1</f>
        <v>2020</v>
      </c>
      <c r="G11" s="253">
        <v>5.5</v>
      </c>
      <c r="H11" s="44">
        <v>0</v>
      </c>
      <c r="I11" s="15"/>
      <c r="J11" s="81">
        <f>ROUND(H11/G11,0)</f>
        <v>0</v>
      </c>
      <c r="K11" s="81">
        <f t="shared" ref="K11:K12" si="5">ROUND(H11/G11,0)</f>
        <v>0</v>
      </c>
      <c r="L11" s="81">
        <f t="shared" si="1"/>
        <v>0</v>
      </c>
      <c r="M11" s="81">
        <f t="shared" si="2"/>
        <v>0</v>
      </c>
      <c r="N11" s="81">
        <f t="shared" ref="N11:N15" si="6">ROUND(H11/G11,0)</f>
        <v>0</v>
      </c>
      <c r="O11" s="257">
        <f>H11-J11-K11-L11-M11-N11</f>
        <v>0</v>
      </c>
      <c r="P11" s="81"/>
      <c r="Q11" s="79"/>
      <c r="R11" s="62"/>
      <c r="S11" s="62"/>
      <c r="T11" s="62"/>
      <c r="U11" s="270">
        <f t="shared" si="3"/>
        <v>0</v>
      </c>
      <c r="V11" s="62"/>
    </row>
    <row r="12" spans="1:22" s="60" customFormat="1" x14ac:dyDescent="0.3">
      <c r="F12" s="51">
        <f t="shared" si="4"/>
        <v>2021</v>
      </c>
      <c r="G12" s="253">
        <v>5.49</v>
      </c>
      <c r="H12" s="44">
        <v>0</v>
      </c>
      <c r="I12" s="15"/>
      <c r="J12" s="81"/>
      <c r="K12" s="81">
        <f t="shared" si="5"/>
        <v>0</v>
      </c>
      <c r="L12" s="81">
        <f t="shared" si="1"/>
        <v>0</v>
      </c>
      <c r="M12" s="81">
        <f t="shared" si="2"/>
        <v>0</v>
      </c>
      <c r="N12" s="81">
        <f t="shared" si="6"/>
        <v>0</v>
      </c>
      <c r="O12" s="257">
        <f t="shared" ref="O12:O16" si="7">ROUND(H12/G12,0)</f>
        <v>0</v>
      </c>
      <c r="P12" s="81">
        <f>H12-K12-L12-M12-N12-O12</f>
        <v>0</v>
      </c>
      <c r="Q12" s="81"/>
      <c r="R12" s="62"/>
      <c r="S12" s="62"/>
      <c r="T12" s="62"/>
      <c r="U12" s="270">
        <f t="shared" si="3"/>
        <v>0</v>
      </c>
      <c r="V12" s="62"/>
    </row>
    <row r="13" spans="1:22" s="60" customFormat="1" x14ac:dyDescent="0.3">
      <c r="F13" s="51">
        <f t="shared" si="4"/>
        <v>2022</v>
      </c>
      <c r="G13" s="253">
        <v>5.38</v>
      </c>
      <c r="H13" s="44">
        <v>0</v>
      </c>
      <c r="I13" s="15"/>
      <c r="J13" s="15"/>
      <c r="K13" s="15"/>
      <c r="L13" s="81">
        <f t="shared" si="1"/>
        <v>0</v>
      </c>
      <c r="M13" s="81">
        <f t="shared" si="2"/>
        <v>0</v>
      </c>
      <c r="N13" s="81">
        <f t="shared" si="6"/>
        <v>0</v>
      </c>
      <c r="O13" s="257">
        <f t="shared" si="7"/>
        <v>0</v>
      </c>
      <c r="P13" s="81">
        <f>ROUND(H13/G13,0)</f>
        <v>0</v>
      </c>
      <c r="Q13" s="81">
        <f>H13-L13-M13-N13-O13-P13</f>
        <v>0</v>
      </c>
      <c r="R13" s="81"/>
      <c r="S13" s="81"/>
      <c r="T13" s="62"/>
      <c r="U13" s="270">
        <f t="shared" si="3"/>
        <v>0</v>
      </c>
      <c r="V13" s="62"/>
    </row>
    <row r="14" spans="1:22" x14ac:dyDescent="0.3">
      <c r="A14" s="60"/>
      <c r="B14" s="60"/>
      <c r="C14" s="60"/>
      <c r="D14" s="60"/>
      <c r="E14" s="60"/>
      <c r="F14" s="51">
        <f t="shared" si="4"/>
        <v>2023</v>
      </c>
      <c r="G14" s="253">
        <v>5.4</v>
      </c>
      <c r="H14" s="44">
        <v>0</v>
      </c>
      <c r="I14" s="15"/>
      <c r="J14" s="15"/>
      <c r="K14" s="15"/>
      <c r="L14" s="15"/>
      <c r="M14" s="81">
        <f t="shared" si="2"/>
        <v>0</v>
      </c>
      <c r="N14" s="81">
        <f t="shared" si="6"/>
        <v>0</v>
      </c>
      <c r="O14" s="257">
        <f t="shared" si="7"/>
        <v>0</v>
      </c>
      <c r="P14" s="81">
        <f>ROUND(H14/G14,0)</f>
        <v>0</v>
      </c>
      <c r="Q14" s="81">
        <f>ROUND(H14/G14,0)</f>
        <v>0</v>
      </c>
      <c r="R14" s="81">
        <f>H14-M14-N14-O14-P14-Q14</f>
        <v>0</v>
      </c>
      <c r="S14" s="81"/>
      <c r="T14" s="62"/>
      <c r="U14" s="270">
        <f t="shared" si="3"/>
        <v>0</v>
      </c>
      <c r="V14" s="62"/>
    </row>
    <row r="15" spans="1:22" s="60" customFormat="1" x14ac:dyDescent="0.3">
      <c r="F15" s="51">
        <f t="shared" si="4"/>
        <v>2024</v>
      </c>
      <c r="G15" s="253">
        <v>5.4</v>
      </c>
      <c r="H15" s="44">
        <v>0</v>
      </c>
      <c r="I15" s="15"/>
      <c r="J15" s="15"/>
      <c r="K15" s="15"/>
      <c r="L15" s="15"/>
      <c r="M15" s="81"/>
      <c r="N15" s="81">
        <f t="shared" si="6"/>
        <v>0</v>
      </c>
      <c r="O15" s="257">
        <f t="shared" si="7"/>
        <v>0</v>
      </c>
      <c r="P15" s="81">
        <f>ROUND(H15/G15,0)</f>
        <v>0</v>
      </c>
      <c r="Q15" s="81">
        <f>ROUND(H15/G15,0)</f>
        <v>0</v>
      </c>
      <c r="R15" s="81">
        <f>ROUND(H15/G15,0)</f>
        <v>0</v>
      </c>
      <c r="S15" s="81">
        <f>H15-N15-O15-P15-Q15-R15</f>
        <v>0</v>
      </c>
      <c r="T15" s="81"/>
      <c r="U15" s="270">
        <f>SUM(I15:T15)-H15</f>
        <v>0</v>
      </c>
      <c r="V15" s="62"/>
    </row>
    <row r="16" spans="1:22" s="60" customFormat="1" x14ac:dyDescent="0.3">
      <c r="F16" s="51">
        <f t="shared" si="4"/>
        <v>2025</v>
      </c>
      <c r="G16" s="253">
        <f>+'2024 Data'!E57</f>
        <v>5.36</v>
      </c>
      <c r="H16" s="44">
        <v>0</v>
      </c>
      <c r="N16" s="62"/>
      <c r="O16" s="81">
        <f t="shared" si="7"/>
        <v>0</v>
      </c>
      <c r="P16" s="81">
        <f>ROUND(H16/G16,0)</f>
        <v>0</v>
      </c>
      <c r="Q16" s="81">
        <f>ROUND(H16/G16,0)</f>
        <v>0</v>
      </c>
      <c r="R16" s="81">
        <f>ROUND(H16/G16,0)</f>
        <v>0</v>
      </c>
      <c r="S16" s="81">
        <f>ROUND(H16/G16,0)</f>
        <v>0</v>
      </c>
      <c r="T16" s="81">
        <f>H16-O16-P16-Q16-R16-S16</f>
        <v>0</v>
      </c>
      <c r="U16" s="270">
        <f>SUM(I16:T16)-H16</f>
        <v>0</v>
      </c>
      <c r="V16" s="62"/>
    </row>
    <row r="17" spans="1:21" s="60" customFormat="1" x14ac:dyDescent="0.3">
      <c r="F17" s="51"/>
      <c r="H17" s="280"/>
      <c r="O17" s="81"/>
    </row>
    <row r="18" spans="1:21" x14ac:dyDescent="0.3">
      <c r="A18" s="60"/>
      <c r="B18" s="60"/>
      <c r="C18" s="60"/>
      <c r="D18" s="60"/>
      <c r="E18" s="60"/>
      <c r="F18" s="60"/>
      <c r="G18" s="62"/>
      <c r="H18" s="60"/>
      <c r="I18" s="15"/>
      <c r="J18" s="15"/>
      <c r="K18" s="15"/>
      <c r="L18" s="15"/>
      <c r="M18" s="15"/>
      <c r="N18" s="79"/>
      <c r="O18" s="15"/>
      <c r="P18" s="15"/>
      <c r="Q18" s="15"/>
      <c r="R18" s="15"/>
      <c r="S18" s="60"/>
      <c r="U18" s="60"/>
    </row>
    <row r="19" spans="1:21" x14ac:dyDescent="0.3">
      <c r="A19" s="60"/>
      <c r="B19" s="60"/>
      <c r="C19" s="60" t="s">
        <v>149</v>
      </c>
      <c r="D19" s="60"/>
      <c r="E19" s="60"/>
      <c r="F19" s="60"/>
      <c r="G19" s="62"/>
      <c r="H19" s="60"/>
      <c r="I19" s="55">
        <f t="shared" ref="I19:T19" si="8">SUM(I10:I18)</f>
        <v>0</v>
      </c>
      <c r="J19" s="55">
        <f t="shared" si="8"/>
        <v>0</v>
      </c>
      <c r="K19" s="55">
        <f t="shared" si="8"/>
        <v>0</v>
      </c>
      <c r="L19" s="55">
        <f t="shared" si="8"/>
        <v>0</v>
      </c>
      <c r="M19" s="55">
        <f t="shared" si="8"/>
        <v>0</v>
      </c>
      <c r="N19" s="203">
        <f t="shared" si="8"/>
        <v>0</v>
      </c>
      <c r="O19" s="55">
        <f>SUM(O10:O18)</f>
        <v>0</v>
      </c>
      <c r="P19" s="55">
        <f t="shared" si="8"/>
        <v>0</v>
      </c>
      <c r="Q19" s="55">
        <f t="shared" si="8"/>
        <v>0</v>
      </c>
      <c r="R19" s="55">
        <f t="shared" si="8"/>
        <v>0</v>
      </c>
      <c r="S19" s="55">
        <f t="shared" si="8"/>
        <v>0</v>
      </c>
      <c r="T19" s="55">
        <f t="shared" si="8"/>
        <v>0</v>
      </c>
      <c r="U19" s="56">
        <f>SUM(I19:T19)-SUM(H10:H18)</f>
        <v>0</v>
      </c>
    </row>
    <row r="20" spans="1:21" s="60" customFormat="1" x14ac:dyDescent="0.3">
      <c r="G20" s="62"/>
      <c r="I20" s="259"/>
      <c r="J20" s="259"/>
      <c r="K20" s="259"/>
      <c r="L20" s="259"/>
      <c r="M20" s="259"/>
      <c r="N20" s="48"/>
      <c r="O20" s="257">
        <f>SUM(O11:O15)</f>
        <v>0</v>
      </c>
      <c r="P20" s="259"/>
      <c r="Q20" s="259"/>
      <c r="R20" s="259"/>
      <c r="S20" s="259"/>
      <c r="T20" s="259"/>
      <c r="U20" s="56"/>
    </row>
    <row r="21" spans="1:21" s="60" customFormat="1" x14ac:dyDescent="0.3">
      <c r="G21" s="8" t="s">
        <v>274</v>
      </c>
      <c r="H21" s="81">
        <f>+Regular!J90</f>
        <v>0</v>
      </c>
      <c r="I21" s="259"/>
      <c r="J21" s="259"/>
      <c r="K21" s="259"/>
      <c r="L21" s="259"/>
      <c r="M21" s="259"/>
      <c r="N21" s="48"/>
      <c r="O21" s="258" t="s">
        <v>271</v>
      </c>
      <c r="P21" s="259"/>
      <c r="Q21" s="259"/>
      <c r="R21" s="259"/>
      <c r="S21" s="259"/>
      <c r="T21" s="259"/>
      <c r="U21" s="56"/>
    </row>
    <row r="22" spans="1:21" x14ac:dyDescent="0.3">
      <c r="A22" s="60"/>
      <c r="B22" s="60"/>
      <c r="C22" s="60"/>
      <c r="D22" s="60"/>
      <c r="E22" s="60"/>
      <c r="F22" s="60"/>
      <c r="G22" s="62"/>
      <c r="H22" s="60"/>
      <c r="I22" s="15"/>
      <c r="J22" s="15"/>
      <c r="K22" s="15"/>
      <c r="L22" s="15"/>
      <c r="M22" s="15"/>
      <c r="N22" s="15"/>
      <c r="P22" s="15"/>
      <c r="Q22" s="15"/>
      <c r="S22" s="60"/>
      <c r="U22" s="60"/>
    </row>
    <row r="23" spans="1:21" ht="28.5" customHeight="1" x14ac:dyDescent="0.3">
      <c r="A23" s="292" t="s">
        <v>150</v>
      </c>
      <c r="B23" s="292"/>
      <c r="C23" s="292"/>
      <c r="D23" s="292"/>
      <c r="E23" s="292"/>
      <c r="F23" s="60"/>
      <c r="G23" s="62"/>
      <c r="H23" s="62"/>
      <c r="I23" s="79"/>
      <c r="J23" s="79"/>
      <c r="K23" s="79"/>
      <c r="L23" s="79"/>
      <c r="M23" s="79"/>
      <c r="N23" s="79"/>
      <c r="O23" s="62"/>
      <c r="P23" s="79"/>
      <c r="Q23" s="79"/>
      <c r="R23" s="62"/>
      <c r="S23" s="62"/>
      <c r="T23" s="62"/>
      <c r="U23" s="60"/>
    </row>
    <row r="24" spans="1:21" x14ac:dyDescent="0.3">
      <c r="A24" s="60"/>
      <c r="B24" s="60" t="s">
        <v>151</v>
      </c>
      <c r="C24" s="60"/>
      <c r="D24" s="60"/>
      <c r="E24" s="60"/>
      <c r="F24" s="60"/>
      <c r="G24" s="62"/>
      <c r="H24" s="60"/>
      <c r="I24" s="79"/>
      <c r="J24" s="79"/>
      <c r="K24" s="79"/>
      <c r="L24" s="79"/>
      <c r="M24" s="79"/>
      <c r="N24" s="79"/>
      <c r="O24" s="79"/>
      <c r="P24" s="79"/>
      <c r="Q24" s="79"/>
      <c r="R24" s="62"/>
      <c r="S24" s="62"/>
      <c r="T24" s="62"/>
      <c r="U24" s="60"/>
    </row>
    <row r="25" spans="1:21" x14ac:dyDescent="0.3">
      <c r="A25" s="60"/>
      <c r="B25" s="60"/>
      <c r="C25" s="60"/>
      <c r="D25" s="60"/>
      <c r="E25" s="60"/>
      <c r="F25" s="51">
        <f t="shared" ref="F25:F31" si="9">+F10</f>
        <v>2019</v>
      </c>
      <c r="G25" s="253">
        <v>5.28</v>
      </c>
      <c r="H25" s="44">
        <v>0</v>
      </c>
      <c r="I25" s="81">
        <f>ROUND(H25/G25,0)</f>
        <v>0</v>
      </c>
      <c r="J25" s="81">
        <f>ROUND(H25/G25,0)</f>
        <v>0</v>
      </c>
      <c r="K25" s="81">
        <f>ROUND(H25/G25,0)</f>
        <v>0</v>
      </c>
      <c r="L25" s="81">
        <f>ROUND(H25/G25,0)</f>
        <v>0</v>
      </c>
      <c r="M25" s="81">
        <f>ROUND(H25/G25,0)</f>
        <v>0</v>
      </c>
      <c r="N25" s="81">
        <f>H25-I25-J25-K25-L25-M25</f>
        <v>0</v>
      </c>
      <c r="O25" s="79"/>
      <c r="P25" s="81"/>
      <c r="Q25" s="81"/>
      <c r="R25" s="62"/>
      <c r="S25" s="62"/>
      <c r="T25" s="62"/>
      <c r="U25" s="56">
        <f t="shared" ref="U25:U31" si="10">SUM(I25:T25)-H25</f>
        <v>0</v>
      </c>
    </row>
    <row r="26" spans="1:21" x14ac:dyDescent="0.3">
      <c r="A26" s="60"/>
      <c r="B26" s="60"/>
      <c r="C26" s="60"/>
      <c r="D26" s="60"/>
      <c r="E26" s="60"/>
      <c r="F26" s="51">
        <f t="shared" si="9"/>
        <v>2020</v>
      </c>
      <c r="G26" s="253">
        <v>5.5</v>
      </c>
      <c r="H26" s="44">
        <v>0</v>
      </c>
      <c r="I26" s="81"/>
      <c r="J26" s="81">
        <f>ROUND(H26/G26,0)</f>
        <v>0</v>
      </c>
      <c r="K26" s="81">
        <f>ROUND(H26/G26,0)</f>
        <v>0</v>
      </c>
      <c r="L26" s="81">
        <f>ROUND(H26/G26,0)</f>
        <v>0</v>
      </c>
      <c r="M26" s="81">
        <f>ROUND(H26/G26,0)</f>
        <v>0</v>
      </c>
      <c r="N26" s="81">
        <f>ROUND(H26/G26,0)</f>
        <v>0</v>
      </c>
      <c r="O26" s="257">
        <f>H26-J26-K26-L26-M26-N26</f>
        <v>0</v>
      </c>
      <c r="P26" s="81"/>
      <c r="Q26" s="81"/>
      <c r="R26" s="62"/>
      <c r="S26" s="62"/>
      <c r="T26" s="62"/>
      <c r="U26" s="56">
        <f t="shared" si="10"/>
        <v>0</v>
      </c>
    </row>
    <row r="27" spans="1:21" x14ac:dyDescent="0.3">
      <c r="A27" s="60"/>
      <c r="B27" s="60"/>
      <c r="C27" s="60"/>
      <c r="D27" s="60"/>
      <c r="E27" s="60"/>
      <c r="F27" s="51">
        <f t="shared" si="9"/>
        <v>2021</v>
      </c>
      <c r="G27" s="253">
        <v>5.49</v>
      </c>
      <c r="H27" s="44">
        <v>0</v>
      </c>
      <c r="I27" s="79"/>
      <c r="J27" s="79"/>
      <c r="K27" s="81">
        <f>ROUND(H27/G27,0)</f>
        <v>0</v>
      </c>
      <c r="L27" s="81">
        <f>ROUND(H27/G27,0)</f>
        <v>0</v>
      </c>
      <c r="M27" s="81">
        <f>ROUND(H27/G27,0)</f>
        <v>0</v>
      </c>
      <c r="N27" s="81">
        <f>ROUND(H27/G27,0)</f>
        <v>0</v>
      </c>
      <c r="O27" s="257">
        <f>ROUND(H27/G27,0)</f>
        <v>0</v>
      </c>
      <c r="P27" s="81">
        <f>H27-K27-L27-M27-N27-O27</f>
        <v>0</v>
      </c>
      <c r="Q27" s="81"/>
      <c r="R27" s="62"/>
      <c r="S27" s="62"/>
      <c r="T27" s="62"/>
      <c r="U27" s="56">
        <f t="shared" si="10"/>
        <v>0</v>
      </c>
    </row>
    <row r="28" spans="1:21" x14ac:dyDescent="0.3">
      <c r="A28" s="60"/>
      <c r="B28" s="60"/>
      <c r="C28" s="60"/>
      <c r="D28" s="60"/>
      <c r="E28" s="60"/>
      <c r="F28" s="51">
        <f t="shared" si="9"/>
        <v>2022</v>
      </c>
      <c r="G28" s="253">
        <v>5.38</v>
      </c>
      <c r="H28" s="44">
        <v>0</v>
      </c>
      <c r="I28" s="81"/>
      <c r="J28" s="81"/>
      <c r="K28" s="81"/>
      <c r="L28" s="81">
        <f t="shared" ref="L28" si="11">ROUND(H28/G28,0)</f>
        <v>0</v>
      </c>
      <c r="M28" s="81">
        <f>ROUND(H28/G28,0)</f>
        <v>0</v>
      </c>
      <c r="N28" s="81">
        <f>ROUND(H28/G28,0)</f>
        <v>0</v>
      </c>
      <c r="O28" s="257">
        <f>ROUND(H28/G28,0)</f>
        <v>0</v>
      </c>
      <c r="P28" s="81">
        <f>ROUND(H28/G28,0)</f>
        <v>0</v>
      </c>
      <c r="Q28" s="81">
        <f>H28-L28-M28-N28-O28-P28</f>
        <v>0</v>
      </c>
      <c r="R28" s="81"/>
      <c r="S28" s="62"/>
      <c r="T28" s="62"/>
      <c r="U28" s="56">
        <f t="shared" si="10"/>
        <v>0</v>
      </c>
    </row>
    <row r="29" spans="1:21" x14ac:dyDescent="0.3">
      <c r="A29" s="60"/>
      <c r="B29" s="60"/>
      <c r="C29" s="60"/>
      <c r="D29" s="60"/>
      <c r="E29" s="60"/>
      <c r="F29" s="51">
        <f t="shared" si="9"/>
        <v>2023</v>
      </c>
      <c r="G29" s="253">
        <v>5.4</v>
      </c>
      <c r="H29" s="44">
        <v>0</v>
      </c>
      <c r="I29" s="81"/>
      <c r="J29" s="81"/>
      <c r="K29" s="81"/>
      <c r="L29" s="81"/>
      <c r="M29" s="81">
        <f>ROUND(H29/G29,0)</f>
        <v>0</v>
      </c>
      <c r="N29" s="81">
        <f>ROUND(H29/G29,0)</f>
        <v>0</v>
      </c>
      <c r="O29" s="257">
        <f>ROUND(H29/G29,0)</f>
        <v>0</v>
      </c>
      <c r="P29" s="81">
        <f>ROUND(H29/G29,0)</f>
        <v>0</v>
      </c>
      <c r="Q29" s="81">
        <f>ROUND(H29/G29,0)</f>
        <v>0</v>
      </c>
      <c r="R29" s="81">
        <f>H29-M29-N29-O29-P29-Q29</f>
        <v>0</v>
      </c>
      <c r="S29" s="81"/>
      <c r="T29" s="81"/>
      <c r="U29" s="56">
        <f t="shared" si="10"/>
        <v>0</v>
      </c>
    </row>
    <row r="30" spans="1:21" s="60" customFormat="1" x14ac:dyDescent="0.3">
      <c r="F30" s="51">
        <f t="shared" si="9"/>
        <v>2024</v>
      </c>
      <c r="G30" s="253">
        <f>+G15</f>
        <v>5.4</v>
      </c>
      <c r="H30" s="44">
        <v>0</v>
      </c>
      <c r="I30" s="81"/>
      <c r="J30" s="81"/>
      <c r="K30" s="81"/>
      <c r="L30" s="81"/>
      <c r="M30" s="81"/>
      <c r="N30" s="81">
        <f t="shared" ref="N30" si="12">ROUND(H30/G30,0)</f>
        <v>0</v>
      </c>
      <c r="O30" s="257">
        <f>ROUND(H30/G30,0)</f>
        <v>0</v>
      </c>
      <c r="P30" s="81">
        <f>ROUND(H30/G30,0)</f>
        <v>0</v>
      </c>
      <c r="Q30" s="81">
        <f>ROUND(H30/G30,0)</f>
        <v>0</v>
      </c>
      <c r="R30" s="81">
        <f>ROUND(H30/G30,0)</f>
        <v>0</v>
      </c>
      <c r="S30" s="81">
        <f>H30-N30-O30-P30-Q30-R30</f>
        <v>0</v>
      </c>
      <c r="T30" s="81"/>
      <c r="U30" s="56">
        <f t="shared" si="10"/>
        <v>0</v>
      </c>
    </row>
    <row r="31" spans="1:21" s="60" customFormat="1" x14ac:dyDescent="0.3">
      <c r="F31" s="51">
        <f t="shared" si="9"/>
        <v>2025</v>
      </c>
      <c r="G31" s="253">
        <f>+G16</f>
        <v>5.36</v>
      </c>
      <c r="H31" s="44">
        <v>0</v>
      </c>
      <c r="I31" s="81"/>
      <c r="J31" s="81"/>
      <c r="K31" s="81"/>
      <c r="L31" s="81"/>
      <c r="M31" s="81"/>
      <c r="N31" s="81"/>
      <c r="O31" s="81">
        <f>ROUND(H31/G31,0)</f>
        <v>0</v>
      </c>
      <c r="P31" s="81">
        <f>ROUND(H31/G31,0)</f>
        <v>0</v>
      </c>
      <c r="Q31" s="81">
        <f>ROUND(H31/G31,0)</f>
        <v>0</v>
      </c>
      <c r="R31" s="81">
        <f>ROUND(H31/G31,0)</f>
        <v>0</v>
      </c>
      <c r="S31" s="81">
        <f>ROUND(H31/G31,0)</f>
        <v>0</v>
      </c>
      <c r="T31" s="81">
        <f>H31-O31-P31-Q31-R31-S31</f>
        <v>0</v>
      </c>
      <c r="U31" s="56">
        <f t="shared" si="10"/>
        <v>0</v>
      </c>
    </row>
    <row r="32" spans="1:21" s="60" customFormat="1" x14ac:dyDescent="0.3">
      <c r="F32" s="51"/>
      <c r="G32" s="253"/>
      <c r="H32" s="280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56"/>
    </row>
    <row r="33" spans="1:21" x14ac:dyDescent="0.3">
      <c r="A33" s="60"/>
      <c r="B33" s="60"/>
      <c r="C33" s="60"/>
      <c r="D33" s="60"/>
      <c r="E33" s="60"/>
      <c r="F33" s="60"/>
      <c r="G33" s="62"/>
      <c r="H33" s="1"/>
      <c r="I33" s="1"/>
      <c r="J33" s="1"/>
      <c r="K33" s="1"/>
      <c r="L33" s="1"/>
      <c r="M33" s="1"/>
      <c r="N33" s="1"/>
      <c r="O33" s="1"/>
      <c r="P33" s="1"/>
      <c r="Q33" s="1"/>
      <c r="S33" s="60"/>
      <c r="U33" s="60"/>
    </row>
    <row r="34" spans="1:21" ht="15" thickBot="1" x14ac:dyDescent="0.35">
      <c r="A34" s="60"/>
      <c r="B34" s="60"/>
      <c r="C34" s="60" t="s">
        <v>152</v>
      </c>
      <c r="D34" s="60"/>
      <c r="E34" s="60"/>
      <c r="F34" s="60"/>
      <c r="G34" s="60"/>
      <c r="H34" s="1"/>
      <c r="I34" s="3">
        <f t="shared" ref="I34:T34" si="13">SUM(I25:I33)</f>
        <v>0</v>
      </c>
      <c r="J34" s="3">
        <f t="shared" si="13"/>
        <v>0</v>
      </c>
      <c r="K34" s="3">
        <f t="shared" si="13"/>
        <v>0</v>
      </c>
      <c r="L34" s="3">
        <f t="shared" si="13"/>
        <v>0</v>
      </c>
      <c r="M34" s="3">
        <f t="shared" si="13"/>
        <v>0</v>
      </c>
      <c r="N34" s="3">
        <f t="shared" si="13"/>
        <v>0</v>
      </c>
      <c r="O34" s="3">
        <f t="shared" si="13"/>
        <v>0</v>
      </c>
      <c r="P34" s="3">
        <f t="shared" si="13"/>
        <v>0</v>
      </c>
      <c r="Q34" s="3">
        <f t="shared" si="13"/>
        <v>0</v>
      </c>
      <c r="R34" s="3">
        <f t="shared" si="13"/>
        <v>0</v>
      </c>
      <c r="S34" s="3">
        <f t="shared" si="13"/>
        <v>0</v>
      </c>
      <c r="T34" s="3">
        <f t="shared" si="13"/>
        <v>0</v>
      </c>
      <c r="U34" s="56">
        <f>SUM(I34:T34)-SUM(H25:H33)</f>
        <v>0</v>
      </c>
    </row>
    <row r="35" spans="1:21" ht="15" thickTop="1" x14ac:dyDescent="0.3">
      <c r="A35" s="60"/>
      <c r="B35" s="60"/>
      <c r="C35" s="60"/>
      <c r="D35" s="60"/>
      <c r="E35" s="60"/>
      <c r="F35" s="60"/>
      <c r="G35" s="60"/>
      <c r="H35" s="1"/>
      <c r="I35" s="1"/>
      <c r="J35" s="1"/>
      <c r="K35" s="1"/>
      <c r="L35" s="1"/>
      <c r="M35" s="1"/>
      <c r="N35" s="1"/>
      <c r="O35" s="257">
        <f>SUM(O26:O30)</f>
        <v>0</v>
      </c>
      <c r="P35" s="1"/>
      <c r="Q35" s="1"/>
      <c r="S35" s="60"/>
      <c r="U35" s="60"/>
    </row>
    <row r="36" spans="1:21" x14ac:dyDescent="0.3">
      <c r="A36" s="60"/>
      <c r="B36" s="60"/>
      <c r="C36" s="60"/>
      <c r="D36" s="60"/>
      <c r="E36" s="60"/>
      <c r="F36" s="60"/>
      <c r="G36" s="60"/>
      <c r="H36" s="60"/>
      <c r="I36" s="15"/>
      <c r="J36" s="15"/>
      <c r="K36" s="15"/>
      <c r="L36" s="15"/>
      <c r="M36" s="15"/>
      <c r="N36" s="15"/>
      <c r="O36" s="258" t="s">
        <v>271</v>
      </c>
      <c r="P36" s="60"/>
      <c r="S36" s="60"/>
      <c r="U36" s="60"/>
    </row>
    <row r="37" spans="1:21" x14ac:dyDescent="0.3">
      <c r="A37" s="6" t="s">
        <v>153</v>
      </c>
      <c r="B37" s="60"/>
      <c r="C37" s="60"/>
      <c r="D37" s="60"/>
      <c r="E37" s="60"/>
      <c r="F37" s="60"/>
      <c r="G37" s="62"/>
      <c r="H37" s="62"/>
      <c r="I37" s="62"/>
      <c r="J37" s="62"/>
      <c r="K37" s="62"/>
      <c r="L37" s="62"/>
      <c r="M37" s="62"/>
      <c r="N37" s="62"/>
      <c r="O37" s="62"/>
      <c r="P37" s="60"/>
      <c r="S37" s="60"/>
      <c r="U37" s="60"/>
    </row>
    <row r="38" spans="1:21" x14ac:dyDescent="0.3">
      <c r="A38" s="60"/>
      <c r="B38" s="60"/>
      <c r="C38" s="60"/>
      <c r="D38" s="60"/>
      <c r="E38" s="60"/>
      <c r="F38" s="60"/>
      <c r="G38" s="291" t="s">
        <v>46</v>
      </c>
      <c r="H38" s="291"/>
      <c r="I38" s="291"/>
      <c r="J38" s="291"/>
      <c r="K38" s="62"/>
      <c r="L38" s="291" t="s">
        <v>47</v>
      </c>
      <c r="M38" s="291"/>
      <c r="N38" s="291"/>
      <c r="O38" s="291"/>
      <c r="P38" s="60"/>
      <c r="S38" s="60"/>
      <c r="U38" s="60"/>
    </row>
    <row r="39" spans="1:21" x14ac:dyDescent="0.3">
      <c r="A39" s="60"/>
      <c r="B39" s="60" t="s">
        <v>154</v>
      </c>
      <c r="C39" s="60"/>
      <c r="D39" s="60"/>
      <c r="E39" s="60"/>
      <c r="F39" s="60"/>
      <c r="G39" s="51" t="s">
        <v>155</v>
      </c>
      <c r="H39" s="80" t="s">
        <v>156</v>
      </c>
      <c r="I39" s="80" t="s">
        <v>157</v>
      </c>
      <c r="J39" s="62"/>
      <c r="K39" s="62"/>
      <c r="L39" s="51" t="s">
        <v>155</v>
      </c>
      <c r="M39" s="80" t="s">
        <v>156</v>
      </c>
      <c r="N39" s="80" t="s">
        <v>157</v>
      </c>
      <c r="O39" s="62"/>
      <c r="P39" s="60"/>
      <c r="S39" s="60"/>
      <c r="U39" s="60"/>
    </row>
    <row r="40" spans="1:21" x14ac:dyDescent="0.3">
      <c r="A40" s="60"/>
      <c r="B40" s="60" t="s">
        <v>158</v>
      </c>
      <c r="C40" s="60"/>
      <c r="D40" s="60"/>
      <c r="E40" s="60"/>
      <c r="F40" s="60"/>
      <c r="G40" s="45" t="s">
        <v>159</v>
      </c>
      <c r="H40" s="45" t="s">
        <v>160</v>
      </c>
      <c r="I40" s="45" t="s">
        <v>161</v>
      </c>
      <c r="J40" s="45" t="s">
        <v>162</v>
      </c>
      <c r="K40" s="62"/>
      <c r="L40" s="45" t="s">
        <v>159</v>
      </c>
      <c r="M40" s="45" t="s">
        <v>160</v>
      </c>
      <c r="N40" s="45" t="s">
        <v>161</v>
      </c>
      <c r="O40" s="45" t="s">
        <v>162</v>
      </c>
      <c r="P40" s="60"/>
      <c r="S40" s="60"/>
      <c r="U40" s="60"/>
    </row>
    <row r="41" spans="1:21" x14ac:dyDescent="0.3">
      <c r="A41" s="60"/>
      <c r="B41" s="60"/>
      <c r="C41" s="60"/>
      <c r="D41" s="60"/>
      <c r="E41" s="62">
        <f>+P8</f>
        <v>2026</v>
      </c>
      <c r="F41" s="62"/>
      <c r="G41" s="81">
        <v>1061590796</v>
      </c>
      <c r="H41" s="81">
        <f>G41*D48</f>
        <v>0</v>
      </c>
      <c r="I41" s="81">
        <f>P19</f>
        <v>0</v>
      </c>
      <c r="J41" s="81">
        <f t="shared" ref="J41:J46" si="14">SUM(H41:I41)</f>
        <v>0</v>
      </c>
      <c r="K41" s="81"/>
      <c r="L41" s="81">
        <v>-1545037329</v>
      </c>
      <c r="M41" s="81">
        <f>L41*D48</f>
        <v>0</v>
      </c>
      <c r="N41" s="81">
        <f>P34</f>
        <v>0</v>
      </c>
      <c r="O41" s="81">
        <f t="shared" ref="O41:O46" si="15">SUM(M41:N41)</f>
        <v>0</v>
      </c>
      <c r="P41" s="1"/>
      <c r="Q41" s="1"/>
      <c r="S41" s="60"/>
      <c r="U41" s="60"/>
    </row>
    <row r="42" spans="1:21" x14ac:dyDescent="0.3">
      <c r="A42" s="6"/>
      <c r="B42" s="60"/>
      <c r="C42" s="60"/>
      <c r="D42" s="60"/>
      <c r="E42" s="62">
        <f>+Q8</f>
        <v>2027</v>
      </c>
      <c r="F42" s="62"/>
      <c r="G42" s="81">
        <v>1046743697</v>
      </c>
      <c r="H42" s="81">
        <f>G42*D48</f>
        <v>0</v>
      </c>
      <c r="I42" s="81">
        <f>+Q19</f>
        <v>0</v>
      </c>
      <c r="J42" s="81">
        <f t="shared" si="14"/>
        <v>0</v>
      </c>
      <c r="K42" s="81"/>
      <c r="L42" s="81">
        <v>-145487882</v>
      </c>
      <c r="M42" s="81">
        <f>L42*D48</f>
        <v>0</v>
      </c>
      <c r="N42" s="81">
        <f>Q34</f>
        <v>0</v>
      </c>
      <c r="O42" s="81">
        <f t="shared" si="15"/>
        <v>0</v>
      </c>
      <c r="P42" s="1"/>
      <c r="Q42" s="1"/>
      <c r="S42" s="60"/>
      <c r="U42" s="60"/>
    </row>
    <row r="43" spans="1:21" x14ac:dyDescent="0.3">
      <c r="A43" s="60"/>
      <c r="B43" s="60"/>
      <c r="C43" s="60"/>
      <c r="D43" s="60"/>
      <c r="E43" s="62">
        <f>+R8</f>
        <v>2028</v>
      </c>
      <c r="F43" s="62"/>
      <c r="G43" s="81">
        <v>184653976</v>
      </c>
      <c r="H43" s="81">
        <f>G43*D48</f>
        <v>0</v>
      </c>
      <c r="I43" s="81">
        <f>+R19</f>
        <v>0</v>
      </c>
      <c r="J43" s="81">
        <f t="shared" si="14"/>
        <v>0</v>
      </c>
      <c r="K43" s="81"/>
      <c r="L43" s="81">
        <v>-145474974</v>
      </c>
      <c r="M43" s="81">
        <f>L43*D48</f>
        <v>0</v>
      </c>
      <c r="N43" s="81">
        <f>R34</f>
        <v>0</v>
      </c>
      <c r="O43" s="81">
        <f t="shared" si="15"/>
        <v>0</v>
      </c>
      <c r="P43" s="1"/>
      <c r="Q43" s="1"/>
      <c r="S43" s="60"/>
      <c r="U43" s="60"/>
    </row>
    <row r="44" spans="1:21" x14ac:dyDescent="0.3">
      <c r="A44" s="60"/>
      <c r="B44" s="60"/>
      <c r="C44" s="60"/>
      <c r="D44" s="60"/>
      <c r="E44" s="62">
        <f>S8</f>
        <v>2029</v>
      </c>
      <c r="F44" s="62"/>
      <c r="G44" s="81">
        <v>25488550</v>
      </c>
      <c r="H44" s="81">
        <f>G44*D48</f>
        <v>0</v>
      </c>
      <c r="I44" s="81">
        <f>+S19</f>
        <v>0</v>
      </c>
      <c r="J44" s="81">
        <f t="shared" si="14"/>
        <v>0</v>
      </c>
      <c r="K44" s="81"/>
      <c r="L44" s="81">
        <v>-145466368</v>
      </c>
      <c r="M44" s="81">
        <f>L44*D48</f>
        <v>0</v>
      </c>
      <c r="N44" s="81">
        <f>S34</f>
        <v>0</v>
      </c>
      <c r="O44" s="81">
        <f t="shared" si="15"/>
        <v>0</v>
      </c>
      <c r="P44" s="1"/>
      <c r="Q44" s="1"/>
      <c r="S44" s="60"/>
      <c r="U44" s="60"/>
    </row>
    <row r="45" spans="1:21" x14ac:dyDescent="0.3">
      <c r="A45" s="60"/>
      <c r="B45" s="60"/>
      <c r="C45" s="60"/>
      <c r="D45" s="60"/>
      <c r="E45" s="62">
        <f>+T8</f>
        <v>2030</v>
      </c>
      <c r="F45" s="62"/>
      <c r="G45" s="81">
        <v>668081</v>
      </c>
      <c r="H45" s="81">
        <f>G45*D48</f>
        <v>0</v>
      </c>
      <c r="I45" s="81">
        <f>+T19</f>
        <v>0</v>
      </c>
      <c r="J45" s="81">
        <f t="shared" si="14"/>
        <v>0</v>
      </c>
      <c r="K45" s="81"/>
      <c r="L45" s="81">
        <v>0</v>
      </c>
      <c r="M45" s="81">
        <f>L45*D48</f>
        <v>0</v>
      </c>
      <c r="N45" s="81">
        <f>T34</f>
        <v>0</v>
      </c>
      <c r="O45" s="81">
        <f t="shared" si="15"/>
        <v>0</v>
      </c>
      <c r="P45" s="1"/>
      <c r="Q45" s="1"/>
      <c r="S45" s="60"/>
      <c r="U45" s="60"/>
    </row>
    <row r="46" spans="1:21" x14ac:dyDescent="0.3">
      <c r="A46" s="60"/>
      <c r="B46" s="60"/>
      <c r="C46" s="60"/>
      <c r="D46" s="60"/>
      <c r="E46" s="90" t="s">
        <v>163</v>
      </c>
      <c r="F46" s="62"/>
      <c r="G46" s="81">
        <v>0</v>
      </c>
      <c r="H46" s="81">
        <f>G46*D48</f>
        <v>0</v>
      </c>
      <c r="I46" s="81"/>
      <c r="J46" s="81">
        <f t="shared" si="14"/>
        <v>0</v>
      </c>
      <c r="K46" s="81"/>
      <c r="L46" s="81">
        <v>0</v>
      </c>
      <c r="M46" s="81">
        <f>L46*0.0047377</f>
        <v>0</v>
      </c>
      <c r="N46" s="81"/>
      <c r="O46" s="81">
        <f t="shared" si="15"/>
        <v>0</v>
      </c>
      <c r="P46" s="1"/>
      <c r="Q46" s="1"/>
      <c r="S46" s="60"/>
      <c r="U46" s="60"/>
    </row>
    <row r="47" spans="1:21" ht="15" thickBot="1" x14ac:dyDescent="0.35">
      <c r="A47" s="60"/>
      <c r="B47" s="60"/>
      <c r="C47" s="60"/>
      <c r="D47" s="60"/>
      <c r="E47" s="60" t="s">
        <v>164</v>
      </c>
      <c r="F47" s="60"/>
      <c r="G47" s="82">
        <f>SUM(G41:G46)</f>
        <v>2319145100</v>
      </c>
      <c r="H47" s="82">
        <f>SUM(H41:H46)</f>
        <v>0</v>
      </c>
      <c r="I47" s="82">
        <f>SUM(I41:I46)</f>
        <v>0</v>
      </c>
      <c r="J47" s="82">
        <f>SUM(J41:J46)</f>
        <v>0</v>
      </c>
      <c r="K47" s="81"/>
      <c r="L47" s="82">
        <v>-1981466553</v>
      </c>
      <c r="M47" s="82">
        <f>SUM(M41:M46)</f>
        <v>0</v>
      </c>
      <c r="N47" s="82">
        <f>SUM(N41:N46)</f>
        <v>0</v>
      </c>
      <c r="O47" s="82">
        <f>SUM(O41:O46)</f>
        <v>0</v>
      </c>
      <c r="P47" s="1"/>
      <c r="Q47" s="1"/>
      <c r="S47" s="60"/>
      <c r="U47" s="60"/>
    </row>
    <row r="48" spans="1:21" ht="15.6" thickTop="1" thickBot="1" x14ac:dyDescent="0.35">
      <c r="A48" s="60" t="s">
        <v>165</v>
      </c>
      <c r="B48" s="60"/>
      <c r="C48" s="60"/>
      <c r="D48" s="46">
        <f>Regular!$G$18</f>
        <v>0</v>
      </c>
      <c r="E48" s="60"/>
      <c r="F48" s="60"/>
      <c r="G48" s="1" t="str">
        <f>IF(G47='2024 Data'!H16,"","ERROR")</f>
        <v/>
      </c>
      <c r="H48" s="60" t="s">
        <v>166</v>
      </c>
      <c r="I48" s="1"/>
      <c r="J48" s="1"/>
      <c r="K48" s="1"/>
      <c r="L48" s="1" t="str">
        <f>IF(-L47='2024 Data'!H22,"","ERROR")</f>
        <v/>
      </c>
      <c r="M48" s="1" t="s">
        <v>167</v>
      </c>
      <c r="N48" s="1"/>
      <c r="O48" s="1"/>
      <c r="P48" s="1"/>
      <c r="Q48" s="1"/>
      <c r="S48" s="60"/>
      <c r="U48" s="60"/>
    </row>
    <row r="49" spans="1:21" ht="15" thickTop="1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S49" s="60"/>
      <c r="U49" s="60"/>
    </row>
    <row r="50" spans="1:21" x14ac:dyDescent="0.3">
      <c r="A50" s="60"/>
      <c r="B50" s="60"/>
      <c r="C50" s="60"/>
      <c r="D50" s="60"/>
      <c r="E50" s="60"/>
      <c r="F50" s="60"/>
      <c r="G50" s="7"/>
      <c r="H50" s="7" t="s">
        <v>168</v>
      </c>
      <c r="I50" s="7"/>
      <c r="J50" s="7"/>
      <c r="K50" s="7"/>
      <c r="L50" s="7"/>
      <c r="M50" s="7"/>
      <c r="N50" s="7"/>
      <c r="O50" s="60"/>
      <c r="P50" s="60"/>
      <c r="S50" s="60"/>
      <c r="U50" s="60"/>
    </row>
    <row r="51" spans="1:21" x14ac:dyDescent="0.3">
      <c r="A51" s="60"/>
      <c r="B51" s="60"/>
      <c r="C51" s="60"/>
      <c r="D51" s="60"/>
      <c r="E51" s="60"/>
      <c r="F51" s="60"/>
      <c r="G51" s="6" t="s">
        <v>169</v>
      </c>
      <c r="H51" s="60"/>
      <c r="I51" s="60"/>
      <c r="J51" s="60"/>
      <c r="K51" s="60"/>
      <c r="L51" s="6" t="s">
        <v>170</v>
      </c>
      <c r="M51" s="60"/>
      <c r="N51" s="60"/>
      <c r="O51" s="60"/>
      <c r="P51" s="60"/>
      <c r="S51" s="60"/>
      <c r="U51" s="60"/>
    </row>
    <row r="52" spans="1:21" x14ac:dyDescent="0.3">
      <c r="A52" s="60"/>
      <c r="B52" s="60"/>
      <c r="C52" s="60"/>
      <c r="D52" s="60"/>
      <c r="E52" s="60"/>
      <c r="F52" s="60"/>
      <c r="G52" s="60"/>
      <c r="H52" s="60" t="s">
        <v>22</v>
      </c>
      <c r="I52" s="61">
        <f>+I47</f>
        <v>0</v>
      </c>
      <c r="J52" s="60"/>
      <c r="K52" s="60"/>
      <c r="L52" s="60"/>
      <c r="M52" s="60" t="s">
        <v>22</v>
      </c>
      <c r="N52" s="61">
        <f>+N47</f>
        <v>0</v>
      </c>
      <c r="O52" s="60"/>
      <c r="P52" s="60"/>
    </row>
    <row r="53" spans="1:21" x14ac:dyDescent="0.3">
      <c r="A53" s="60"/>
      <c r="B53" s="60"/>
      <c r="C53" s="60"/>
      <c r="D53" s="60"/>
      <c r="E53" s="60"/>
      <c r="F53" s="62"/>
      <c r="G53" s="60"/>
      <c r="H53" s="62" t="s">
        <v>171</v>
      </c>
      <c r="I53" s="63">
        <f>+'S + D Amort'!I45</f>
        <v>0</v>
      </c>
      <c r="J53" s="60"/>
      <c r="K53" s="62"/>
      <c r="L53" s="62"/>
      <c r="M53" s="62" t="s">
        <v>171</v>
      </c>
      <c r="N53" s="63">
        <f>+'S + D Amort'!N45</f>
        <v>0</v>
      </c>
      <c r="O53" s="60"/>
      <c r="P53" s="60"/>
    </row>
    <row r="54" spans="1:21" x14ac:dyDescent="0.3">
      <c r="A54" s="60"/>
      <c r="B54" s="60"/>
      <c r="C54" s="60"/>
      <c r="D54" s="60"/>
      <c r="E54" s="60"/>
      <c r="F54" s="62"/>
      <c r="G54" s="60"/>
      <c r="H54" s="62" t="s">
        <v>20</v>
      </c>
      <c r="I54" s="64">
        <f>+'Pro Occ Amort'!I46</f>
        <v>0</v>
      </c>
      <c r="J54" s="60"/>
      <c r="K54" s="62"/>
      <c r="L54" s="62"/>
      <c r="M54" s="62" t="s">
        <v>20</v>
      </c>
      <c r="N54" s="64">
        <f>+'Pro Occ Amort'!N46</f>
        <v>0</v>
      </c>
      <c r="O54" s="60"/>
      <c r="P54" s="60"/>
    </row>
    <row r="55" spans="1:21" x14ac:dyDescent="0.3">
      <c r="A55" s="60"/>
      <c r="B55" s="60"/>
      <c r="C55" s="60"/>
      <c r="D55" s="60"/>
      <c r="E55" s="60"/>
      <c r="F55" s="62"/>
      <c r="G55" s="60"/>
      <c r="H55" s="62"/>
      <c r="I55" s="62"/>
      <c r="J55" s="60"/>
      <c r="K55" s="62"/>
      <c r="L55" s="62"/>
      <c r="M55" s="62"/>
      <c r="N55" s="62"/>
      <c r="O55" s="60"/>
      <c r="P55" s="60"/>
    </row>
    <row r="56" spans="1:21" ht="15" thickBot="1" x14ac:dyDescent="0.35">
      <c r="A56" s="60"/>
      <c r="B56" s="60"/>
      <c r="C56" s="60"/>
      <c r="D56" s="60"/>
      <c r="E56" s="60"/>
      <c r="F56" s="62"/>
      <c r="G56" s="60"/>
      <c r="H56" s="62" t="s">
        <v>162</v>
      </c>
      <c r="I56" s="65">
        <f>SUM(I52:I54)</f>
        <v>0</v>
      </c>
      <c r="J56" s="60"/>
      <c r="K56" s="62"/>
      <c r="L56" s="62"/>
      <c r="M56" s="62" t="s">
        <v>162</v>
      </c>
      <c r="N56" s="65">
        <f>SUM(N52:N54)</f>
        <v>0</v>
      </c>
      <c r="O56" s="60"/>
      <c r="P56" s="60"/>
    </row>
    <row r="57" spans="1:21" ht="15" thickTop="1" x14ac:dyDescent="0.3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21" x14ac:dyDescent="0.3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</sheetData>
  <mergeCells count="5">
    <mergeCell ref="I7:O7"/>
    <mergeCell ref="G38:J38"/>
    <mergeCell ref="L38:O38"/>
    <mergeCell ref="A8:E8"/>
    <mergeCell ref="A23:E23"/>
  </mergeCells>
  <conditionalFormatting sqref="U10:U16">
    <cfRule type="cellIs" dxfId="6" priority="1" operator="notEqual">
      <formula>0</formula>
    </cfRule>
  </conditionalFormatting>
  <conditionalFormatting sqref="U19:U21 U25:U32">
    <cfRule type="cellIs" dxfId="5" priority="4" operator="notEqual">
      <formula>0</formula>
    </cfRule>
  </conditionalFormatting>
  <conditionalFormatting sqref="U34">
    <cfRule type="cellIs" dxfId="4" priority="3" operator="notEqual">
      <formula>0</formula>
    </cfRule>
  </conditionalFormatting>
  <pageMargins left="0.7" right="0.7" top="0.75" bottom="0.75" header="0.3" footer="0.3"/>
  <pageSetup scale="5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60"/>
  <sheetViews>
    <sheetView topLeftCell="A56" zoomScale="80" zoomScaleNormal="80" workbookViewId="0">
      <selection activeCell="B80" sqref="B80"/>
    </sheetView>
  </sheetViews>
  <sheetFormatPr defaultColWidth="8.88671875" defaultRowHeight="14.4" x14ac:dyDescent="0.3"/>
  <cols>
    <col min="1" max="1" width="2.6640625" style="62" customWidth="1"/>
    <col min="2" max="4" width="8.88671875" style="62"/>
    <col min="5" max="5" width="15.6640625" style="62" customWidth="1"/>
    <col min="6" max="6" width="5.44140625" style="51" customWidth="1"/>
    <col min="7" max="7" width="17.88671875" style="62" customWidth="1"/>
    <col min="8" max="8" width="18.5546875" style="62" customWidth="1"/>
    <col min="9" max="9" width="5.44140625" style="51" customWidth="1"/>
    <col min="10" max="10" width="18" style="62" bestFit="1" customWidth="1"/>
    <col min="11" max="11" width="5.33203125" style="51" customWidth="1"/>
    <col min="12" max="12" width="18.44140625" style="62" bestFit="1" customWidth="1"/>
    <col min="13" max="13" width="16.6640625" style="62" bestFit="1" customWidth="1"/>
    <col min="14" max="14" width="13.88671875" style="62" customWidth="1"/>
    <col min="15" max="15" width="15.33203125" style="62" customWidth="1"/>
    <col min="16" max="16384" width="8.88671875" style="62"/>
  </cols>
  <sheetData>
    <row r="1" spans="1:13" ht="18" x14ac:dyDescent="0.35">
      <c r="A1" s="154" t="s">
        <v>270</v>
      </c>
      <c r="F1" s="155"/>
    </row>
    <row r="2" spans="1:13" ht="18" x14ac:dyDescent="0.35">
      <c r="A2" s="154"/>
    </row>
    <row r="3" spans="1:13" x14ac:dyDescent="0.3">
      <c r="A3" s="156" t="s">
        <v>50</v>
      </c>
      <c r="B3" s="156"/>
      <c r="C3" s="156"/>
      <c r="D3" s="156"/>
      <c r="E3" s="156"/>
      <c r="F3" s="157"/>
      <c r="G3" s="156"/>
      <c r="H3" s="156"/>
    </row>
    <row r="4" spans="1:13" x14ac:dyDescent="0.3">
      <c r="L4" s="158" t="s">
        <v>51</v>
      </c>
      <c r="M4" s="158" t="s">
        <v>51</v>
      </c>
    </row>
    <row r="5" spans="1:13" x14ac:dyDescent="0.3">
      <c r="A5" s="159" t="s">
        <v>52</v>
      </c>
      <c r="B5" s="159"/>
      <c r="C5" s="159"/>
      <c r="D5" s="159"/>
      <c r="E5" s="159"/>
      <c r="J5" s="158"/>
      <c r="K5" s="158"/>
      <c r="L5" s="158" t="s">
        <v>53</v>
      </c>
      <c r="M5" s="158" t="s">
        <v>54</v>
      </c>
    </row>
    <row r="6" spans="1:13" ht="15" thickBot="1" x14ac:dyDescent="0.35">
      <c r="J6" s="160" t="s">
        <v>7</v>
      </c>
      <c r="K6" s="160"/>
      <c r="L6" s="246" t="s">
        <v>55</v>
      </c>
      <c r="M6" s="246" t="s">
        <v>55</v>
      </c>
    </row>
    <row r="7" spans="1:13" ht="15" thickBot="1" x14ac:dyDescent="0.35">
      <c r="B7" s="62" t="str">
        <f>+Regular!B7</f>
        <v>Beginning balance collective measures (June 30, 2023):</v>
      </c>
      <c r="J7" s="161">
        <f>'2023 Data'!$J$7</f>
        <v>-23690797</v>
      </c>
    </row>
    <row r="8" spans="1:13" ht="15" thickBot="1" x14ac:dyDescent="0.35">
      <c r="C8" s="62" t="s">
        <v>56</v>
      </c>
      <c r="J8" s="48"/>
      <c r="L8" s="161">
        <f>'2023 Data'!J13</f>
        <v>24802604</v>
      </c>
      <c r="M8" s="161">
        <f>'2023 Data'!J19</f>
        <v>29255</v>
      </c>
    </row>
    <row r="9" spans="1:13" ht="15" thickBot="1" x14ac:dyDescent="0.35">
      <c r="C9" s="62" t="s">
        <v>57</v>
      </c>
      <c r="J9" s="48"/>
      <c r="L9" s="161">
        <f>'2023 Data'!J14</f>
        <v>0</v>
      </c>
      <c r="M9" s="161">
        <f>'2023 Data'!J20</f>
        <v>6339555</v>
      </c>
    </row>
    <row r="10" spans="1:13" x14ac:dyDescent="0.3">
      <c r="C10" s="62" t="s">
        <v>58</v>
      </c>
      <c r="J10" s="48"/>
      <c r="L10" s="162">
        <f>'2023 Data'!J15</f>
        <v>81617689</v>
      </c>
      <c r="M10" s="162">
        <f>'2023 Data'!J21</f>
        <v>66788948</v>
      </c>
    </row>
    <row r="11" spans="1:13" ht="15" thickBot="1" x14ac:dyDescent="0.35">
      <c r="C11" s="62" t="s">
        <v>59</v>
      </c>
      <c r="J11" s="48"/>
      <c r="L11" s="82">
        <f>SUM(L8:L10)</f>
        <v>106420293</v>
      </c>
      <c r="M11" s="82">
        <f>SUM(M8:M10)</f>
        <v>73157758</v>
      </c>
    </row>
    <row r="12" spans="1:13" ht="15.6" thickTop="1" thickBot="1" x14ac:dyDescent="0.35">
      <c r="G12" s="163" t="s">
        <v>60</v>
      </c>
      <c r="H12" s="51" t="s">
        <v>61</v>
      </c>
      <c r="J12" s="81"/>
      <c r="K12" s="164"/>
      <c r="L12" s="81"/>
      <c r="M12" s="81"/>
    </row>
    <row r="13" spans="1:13" ht="15" thickBot="1" x14ac:dyDescent="0.35">
      <c r="B13" s="62" t="s">
        <v>62</v>
      </c>
      <c r="G13" s="165">
        <f>'2023 Data'!$J$29</f>
        <v>0</v>
      </c>
      <c r="H13" s="166">
        <f>J7*G13</f>
        <v>0</v>
      </c>
      <c r="J13" s="161">
        <f>'2023 Data'!$J$39</f>
        <v>0</v>
      </c>
      <c r="K13" s="164"/>
    </row>
    <row r="14" spans="1:13" ht="15" thickBot="1" x14ac:dyDescent="0.35">
      <c r="C14" s="62" t="s">
        <v>56</v>
      </c>
      <c r="K14" s="164"/>
      <c r="L14" s="161">
        <f>'2023 Data'!J43</f>
        <v>0</v>
      </c>
      <c r="M14" s="161">
        <f>'2023 Data'!J49</f>
        <v>0</v>
      </c>
    </row>
    <row r="15" spans="1:13" ht="15" thickBot="1" x14ac:dyDescent="0.35">
      <c r="C15" s="62" t="s">
        <v>57</v>
      </c>
      <c r="H15" s="49"/>
      <c r="K15" s="164"/>
      <c r="L15" s="161">
        <f>'2023 Data'!J44</f>
        <v>0</v>
      </c>
      <c r="M15" s="161">
        <f>'2023 Data'!J50</f>
        <v>0</v>
      </c>
    </row>
    <row r="16" spans="1:13" ht="15" thickBot="1" x14ac:dyDescent="0.35">
      <c r="C16" s="62" t="s">
        <v>58</v>
      </c>
      <c r="H16" s="49"/>
      <c r="K16" s="164"/>
      <c r="L16" s="161">
        <f>'2023 Data'!J45</f>
        <v>0</v>
      </c>
      <c r="M16" s="161">
        <f>'2023 Data'!J51</f>
        <v>0</v>
      </c>
    </row>
    <row r="17" spans="1:14" ht="15" thickBot="1" x14ac:dyDescent="0.35">
      <c r="C17" s="62" t="s">
        <v>63</v>
      </c>
      <c r="G17" s="51" t="s">
        <v>64</v>
      </c>
      <c r="H17" s="90"/>
      <c r="J17" s="81"/>
      <c r="K17" s="164"/>
      <c r="L17" s="167">
        <f>SUM(L14:L16)</f>
        <v>0</v>
      </c>
      <c r="M17" s="167">
        <f>SUM(M14:M16)</f>
        <v>0</v>
      </c>
    </row>
    <row r="18" spans="1:14" ht="15.6" thickTop="1" thickBot="1" x14ac:dyDescent="0.35">
      <c r="B18" s="62" t="s">
        <v>65</v>
      </c>
      <c r="G18" s="165">
        <f>'2024 Data'!$J$29</f>
        <v>0</v>
      </c>
      <c r="H18" s="163"/>
      <c r="I18" s="163"/>
      <c r="J18" s="81"/>
      <c r="K18" s="164"/>
    </row>
    <row r="19" spans="1:14" x14ac:dyDescent="0.3">
      <c r="H19" s="168"/>
      <c r="I19" s="169"/>
      <c r="J19" s="81"/>
      <c r="K19" s="164"/>
      <c r="L19" s="81"/>
      <c r="M19" s="81"/>
    </row>
    <row r="20" spans="1:14" x14ac:dyDescent="0.3">
      <c r="A20" s="159" t="s">
        <v>66</v>
      </c>
      <c r="C20" s="159"/>
      <c r="D20" s="159"/>
      <c r="E20" s="159"/>
      <c r="F20" s="158"/>
    </row>
    <row r="21" spans="1:14" x14ac:dyDescent="0.3">
      <c r="B21" s="170" t="s">
        <v>67</v>
      </c>
      <c r="C21" s="170"/>
      <c r="D21" s="170"/>
      <c r="E21" s="170"/>
      <c r="F21" s="249"/>
      <c r="L21" s="81"/>
    </row>
    <row r="22" spans="1:14" ht="15" thickBot="1" x14ac:dyDescent="0.35">
      <c r="B22" s="159"/>
      <c r="C22" s="159"/>
      <c r="D22" s="159"/>
      <c r="E22" s="159"/>
      <c r="F22" s="158"/>
      <c r="H22" s="171"/>
    </row>
    <row r="23" spans="1:14" ht="15" thickBot="1" x14ac:dyDescent="0.35">
      <c r="B23" s="62" t="s">
        <v>68</v>
      </c>
      <c r="G23" s="159"/>
      <c r="H23" s="159"/>
      <c r="I23" s="158"/>
      <c r="L23" s="161">
        <f>'2024 Data'!$J$26</f>
        <v>13275003</v>
      </c>
    </row>
    <row r="24" spans="1:14" x14ac:dyDescent="0.3">
      <c r="G24" s="159"/>
      <c r="H24" s="159"/>
      <c r="I24" s="158"/>
      <c r="N24" s="58"/>
    </row>
    <row r="25" spans="1:14" x14ac:dyDescent="0.3">
      <c r="B25" s="62" t="s">
        <v>69</v>
      </c>
      <c r="G25" s="159"/>
      <c r="H25" s="159"/>
      <c r="I25" s="158"/>
    </row>
    <row r="26" spans="1:14" ht="13.5" customHeight="1" x14ac:dyDescent="0.3">
      <c r="B26" s="62" t="s">
        <v>70</v>
      </c>
      <c r="D26" s="62" t="s">
        <v>71</v>
      </c>
      <c r="L26" s="59">
        <f>L23*G18</f>
        <v>0</v>
      </c>
    </row>
    <row r="27" spans="1:14" ht="15" thickBot="1" x14ac:dyDescent="0.35"/>
    <row r="28" spans="1:14" ht="15" thickBot="1" x14ac:dyDescent="0.35">
      <c r="B28" s="62" t="s">
        <v>72</v>
      </c>
      <c r="L28" s="161">
        <f>'2024 Data'!$T$24</f>
        <v>0</v>
      </c>
    </row>
    <row r="30" spans="1:14" ht="15" thickBot="1" x14ac:dyDescent="0.35">
      <c r="B30" s="159" t="s">
        <v>73</v>
      </c>
      <c r="C30" s="159"/>
      <c r="D30" s="159"/>
      <c r="E30" s="159"/>
      <c r="F30" s="158"/>
      <c r="G30" s="159"/>
      <c r="L30" s="82">
        <f>L26-L28</f>
        <v>0</v>
      </c>
    </row>
    <row r="31" spans="1:14" ht="15" thickTop="1" x14ac:dyDescent="0.3"/>
    <row r="33" spans="1:15" x14ac:dyDescent="0.3">
      <c r="A33" s="172" t="s">
        <v>74</v>
      </c>
      <c r="J33" s="291" t="s">
        <v>75</v>
      </c>
      <c r="K33" s="291"/>
      <c r="L33" s="291"/>
      <c r="N33" s="170" t="s">
        <v>76</v>
      </c>
      <c r="O33" s="173"/>
    </row>
    <row r="34" spans="1:15" x14ac:dyDescent="0.3">
      <c r="J34" s="255">
        <f>+Regular!J34</f>
        <v>45107</v>
      </c>
      <c r="K34" s="255"/>
      <c r="L34" s="255">
        <f>+Regular!L34</f>
        <v>45473</v>
      </c>
    </row>
    <row r="35" spans="1:15" x14ac:dyDescent="0.3">
      <c r="J35" s="174">
        <f>G13</f>
        <v>0</v>
      </c>
      <c r="K35" s="175"/>
      <c r="L35" s="174">
        <f>G18</f>
        <v>0</v>
      </c>
      <c r="N35" s="51" t="s">
        <v>77</v>
      </c>
      <c r="O35" s="51" t="s">
        <v>78</v>
      </c>
    </row>
    <row r="36" spans="1:15" ht="15" thickBot="1" x14ac:dyDescent="0.35">
      <c r="A36" s="168" t="s">
        <v>79</v>
      </c>
      <c r="J36" s="246" t="s">
        <v>80</v>
      </c>
      <c r="K36" s="246"/>
      <c r="L36" s="246" t="s">
        <v>81</v>
      </c>
      <c r="N36" s="247" t="s">
        <v>82</v>
      </c>
      <c r="O36" s="247" t="s">
        <v>82</v>
      </c>
    </row>
    <row r="37" spans="1:15" ht="15" thickBot="1" x14ac:dyDescent="0.35">
      <c r="B37" s="62" t="s">
        <v>83</v>
      </c>
      <c r="D37" s="176"/>
      <c r="J37" s="81">
        <f>L14</f>
        <v>0</v>
      </c>
      <c r="L37" s="161">
        <f>'2024 Data'!T43</f>
        <v>0</v>
      </c>
      <c r="N37" s="81">
        <f>L37-J37</f>
        <v>0</v>
      </c>
    </row>
    <row r="38" spans="1:15" ht="15" thickBot="1" x14ac:dyDescent="0.35">
      <c r="B38" s="62" t="s">
        <v>84</v>
      </c>
      <c r="J38" s="81">
        <f>L15</f>
        <v>0</v>
      </c>
      <c r="L38" s="161">
        <f>'2024 Data'!T44</f>
        <v>0</v>
      </c>
      <c r="N38" s="81">
        <f>L38-J38</f>
        <v>0</v>
      </c>
      <c r="O38" s="81"/>
    </row>
    <row r="39" spans="1:15" ht="15" thickBot="1" x14ac:dyDescent="0.35">
      <c r="B39" s="62" t="s">
        <v>85</v>
      </c>
      <c r="J39" s="81">
        <f>L16</f>
        <v>0</v>
      </c>
      <c r="L39" s="161">
        <f>'2024 Data'!T45</f>
        <v>0</v>
      </c>
      <c r="N39" s="81">
        <f>L39-J39</f>
        <v>0</v>
      </c>
      <c r="O39" s="81"/>
    </row>
    <row r="40" spans="1:15" ht="15" thickBot="1" x14ac:dyDescent="0.35">
      <c r="A40" s="177" t="s">
        <v>86</v>
      </c>
      <c r="B40" s="168"/>
      <c r="N40" s="81"/>
      <c r="O40" s="81"/>
    </row>
    <row r="41" spans="1:15" ht="15" thickBot="1" x14ac:dyDescent="0.35">
      <c r="B41" s="62" t="s">
        <v>83</v>
      </c>
      <c r="J41" s="81">
        <f>M14</f>
        <v>0</v>
      </c>
      <c r="L41" s="161">
        <f>'2024 Data'!T49</f>
        <v>0</v>
      </c>
      <c r="N41" s="81"/>
      <c r="O41" s="81">
        <f>L41-J41</f>
        <v>0</v>
      </c>
    </row>
    <row r="42" spans="1:15" ht="15" thickBot="1" x14ac:dyDescent="0.35">
      <c r="B42" s="62" t="s">
        <v>84</v>
      </c>
      <c r="J42" s="81">
        <f>M15</f>
        <v>0</v>
      </c>
      <c r="L42" s="161">
        <f>'2024 Data'!T50</f>
        <v>0</v>
      </c>
      <c r="N42" s="81"/>
      <c r="O42" s="81">
        <f>L42-J42</f>
        <v>0</v>
      </c>
    </row>
    <row r="43" spans="1:15" ht="15" thickBot="1" x14ac:dyDescent="0.35">
      <c r="B43" s="62" t="s">
        <v>85</v>
      </c>
      <c r="J43" s="81">
        <f>M16</f>
        <v>0</v>
      </c>
      <c r="L43" s="161">
        <f>'2024 Data'!T51</f>
        <v>0</v>
      </c>
      <c r="N43" s="81"/>
      <c r="O43" s="81">
        <f>L43-J43</f>
        <v>0</v>
      </c>
    </row>
    <row r="44" spans="1:15" ht="15" thickBot="1" x14ac:dyDescent="0.35">
      <c r="N44" s="81"/>
      <c r="O44" s="81"/>
    </row>
    <row r="45" spans="1:15" ht="15" thickBot="1" x14ac:dyDescent="0.35">
      <c r="A45" s="168" t="s">
        <v>7</v>
      </c>
      <c r="J45" s="81">
        <f>J13</f>
        <v>0</v>
      </c>
      <c r="K45" s="164"/>
      <c r="L45" s="161">
        <f>'2024 Data'!$T$39</f>
        <v>0</v>
      </c>
      <c r="O45" s="81">
        <f>(L45-J45)</f>
        <v>0</v>
      </c>
    </row>
    <row r="46" spans="1:15" ht="15" thickBot="1" x14ac:dyDescent="0.35">
      <c r="A46" s="168"/>
      <c r="E46" s="51"/>
      <c r="H46" s="51" t="s">
        <v>87</v>
      </c>
      <c r="N46" s="81"/>
      <c r="O46" s="81"/>
    </row>
    <row r="47" spans="1:15" ht="15" thickBot="1" x14ac:dyDescent="0.35">
      <c r="A47" s="168" t="s">
        <v>88</v>
      </c>
      <c r="E47" s="161">
        <f>'2024 Data'!$J$10</f>
        <v>121009053</v>
      </c>
      <c r="G47" s="62" t="s">
        <v>89</v>
      </c>
      <c r="H47" s="161">
        <f>'2024 Data'!$T$54</f>
        <v>0</v>
      </c>
      <c r="J47" s="174">
        <f>G18</f>
        <v>0</v>
      </c>
      <c r="K47" s="178"/>
      <c r="L47" s="179">
        <f>ROUND(E47*J47,0)</f>
        <v>0</v>
      </c>
      <c r="N47" s="81"/>
      <c r="O47" s="81"/>
    </row>
    <row r="48" spans="1:15" x14ac:dyDescent="0.3">
      <c r="A48" s="168"/>
      <c r="E48" s="51" t="s">
        <v>90</v>
      </c>
      <c r="H48" s="51"/>
      <c r="J48" s="174" t="s">
        <v>91</v>
      </c>
      <c r="L48" s="51" t="s">
        <v>61</v>
      </c>
      <c r="M48" s="180"/>
    </row>
    <row r="49" spans="1:15" x14ac:dyDescent="0.3">
      <c r="A49" s="168"/>
      <c r="E49" s="51"/>
      <c r="H49" s="51"/>
      <c r="J49" s="174"/>
      <c r="L49" s="51"/>
      <c r="M49" s="180"/>
    </row>
    <row r="50" spans="1:15" x14ac:dyDescent="0.3">
      <c r="A50" s="168"/>
      <c r="E50" s="51"/>
      <c r="H50" s="51"/>
      <c r="J50" s="174"/>
      <c r="L50" s="51"/>
      <c r="M50" s="180"/>
    </row>
    <row r="51" spans="1:15" x14ac:dyDescent="0.3">
      <c r="A51" s="168"/>
      <c r="E51" s="51"/>
      <c r="H51" s="51"/>
      <c r="J51" s="174"/>
      <c r="L51" s="51"/>
      <c r="M51" s="180"/>
    </row>
    <row r="54" spans="1:15" x14ac:dyDescent="0.3">
      <c r="A54" s="181" t="s">
        <v>92</v>
      </c>
    </row>
    <row r="55" spans="1:15" x14ac:dyDescent="0.3">
      <c r="B55" s="62" t="s">
        <v>93</v>
      </c>
    </row>
    <row r="56" spans="1:15" x14ac:dyDescent="0.3">
      <c r="J56" s="291" t="s">
        <v>75</v>
      </c>
      <c r="K56" s="291"/>
      <c r="L56" s="291"/>
      <c r="N56" s="170" t="s">
        <v>76</v>
      </c>
      <c r="O56" s="173"/>
    </row>
    <row r="57" spans="1:15" x14ac:dyDescent="0.3">
      <c r="H57" s="99" t="s">
        <v>286</v>
      </c>
      <c r="I57" s="110"/>
      <c r="J57" s="251">
        <f>+J34</f>
        <v>45107</v>
      </c>
      <c r="K57" s="251"/>
      <c r="L57" s="251">
        <f>+L34</f>
        <v>45473</v>
      </c>
    </row>
    <row r="58" spans="1:15" x14ac:dyDescent="0.3">
      <c r="H58" s="100" t="s">
        <v>285</v>
      </c>
      <c r="I58" s="110"/>
      <c r="J58" s="127">
        <f>G13</f>
        <v>0</v>
      </c>
      <c r="K58" s="128"/>
      <c r="L58" s="127">
        <f>L35</f>
        <v>0</v>
      </c>
      <c r="N58" s="51" t="s">
        <v>77</v>
      </c>
      <c r="O58" s="51" t="s">
        <v>78</v>
      </c>
    </row>
    <row r="59" spans="1:15" x14ac:dyDescent="0.3">
      <c r="H59" s="277">
        <f>+J34</f>
        <v>45107</v>
      </c>
      <c r="I59" s="110"/>
      <c r="J59" s="275" t="s">
        <v>80</v>
      </c>
      <c r="K59" s="275"/>
      <c r="L59" s="275" t="s">
        <v>81</v>
      </c>
      <c r="N59" s="247" t="s">
        <v>82</v>
      </c>
      <c r="O59" s="247" t="s">
        <v>82</v>
      </c>
    </row>
    <row r="61" spans="1:15" x14ac:dyDescent="0.3">
      <c r="B61" s="62" t="s">
        <v>46</v>
      </c>
      <c r="H61" s="94">
        <f>L11</f>
        <v>106420293</v>
      </c>
      <c r="J61" s="180">
        <f>ROUND(H61*J58,0)</f>
        <v>0</v>
      </c>
      <c r="K61" s="183"/>
      <c r="L61" s="180">
        <f>ROUND(H61*L58,0)</f>
        <v>0</v>
      </c>
      <c r="N61" s="180">
        <f>L61-J61</f>
        <v>0</v>
      </c>
      <c r="O61" s="180"/>
    </row>
    <row r="62" spans="1:15" x14ac:dyDescent="0.3">
      <c r="H62" s="94"/>
      <c r="J62" s="180"/>
      <c r="K62" s="183"/>
      <c r="L62" s="180"/>
      <c r="N62" s="79"/>
    </row>
    <row r="63" spans="1:15" x14ac:dyDescent="0.3">
      <c r="B63" s="62" t="s">
        <v>94</v>
      </c>
      <c r="H63" s="94">
        <f>M11</f>
        <v>73157758</v>
      </c>
      <c r="J63" s="180">
        <f>ROUND(H63*J58,0)</f>
        <v>0</v>
      </c>
      <c r="K63" s="183"/>
      <c r="L63" s="180">
        <f>ROUND(H63*L58,0)</f>
        <v>0</v>
      </c>
      <c r="O63" s="180">
        <f>L63-J63</f>
        <v>0</v>
      </c>
    </row>
    <row r="64" spans="1:15" x14ac:dyDescent="0.3">
      <c r="H64" s="69"/>
      <c r="J64" s="180"/>
      <c r="K64" s="183"/>
      <c r="L64" s="180"/>
      <c r="N64" s="79"/>
    </row>
    <row r="65" spans="1:15" x14ac:dyDescent="0.3">
      <c r="B65" s="62" t="s">
        <v>7</v>
      </c>
      <c r="H65" s="84">
        <f>J7</f>
        <v>-23690797</v>
      </c>
      <c r="J65" s="180">
        <f>ROUND(H65*J58,0)</f>
        <v>0</v>
      </c>
      <c r="K65" s="183"/>
      <c r="L65" s="180">
        <f>ROUND(H65*L58,0)</f>
        <v>0</v>
      </c>
      <c r="N65" s="173"/>
      <c r="O65" s="64">
        <f>L65-J65</f>
        <v>0</v>
      </c>
    </row>
    <row r="67" spans="1:15" x14ac:dyDescent="0.3">
      <c r="C67" s="62" t="s">
        <v>95</v>
      </c>
      <c r="N67" s="48">
        <f>SUM(N61:N65)</f>
        <v>0</v>
      </c>
      <c r="O67" s="48">
        <f>SUM(O61:O65)</f>
        <v>0</v>
      </c>
    </row>
    <row r="69" spans="1:15" x14ac:dyDescent="0.3">
      <c r="C69" s="62" t="s">
        <v>96</v>
      </c>
      <c r="H69" s="159"/>
      <c r="N69" s="180">
        <f>+O67-N67</f>
        <v>0</v>
      </c>
      <c r="O69" s="47"/>
    </row>
    <row r="70" spans="1:15" x14ac:dyDescent="0.3">
      <c r="C70" s="62" t="s">
        <v>97</v>
      </c>
      <c r="N70" s="184"/>
      <c r="O70" s="173"/>
    </row>
    <row r="71" spans="1:15" x14ac:dyDescent="0.3">
      <c r="N71" s="81"/>
      <c r="O71" s="81"/>
    </row>
    <row r="72" spans="1:15" ht="15" thickBot="1" x14ac:dyDescent="0.35">
      <c r="C72" s="159" t="s">
        <v>98</v>
      </c>
      <c r="D72" s="159"/>
      <c r="E72" s="159"/>
      <c r="F72" s="158"/>
      <c r="G72" s="159"/>
      <c r="N72" s="179">
        <f>N67+N69</f>
        <v>0</v>
      </c>
      <c r="O72" s="179">
        <f>O67+O69</f>
        <v>0</v>
      </c>
    </row>
    <row r="73" spans="1:15" ht="15" thickTop="1" x14ac:dyDescent="0.3">
      <c r="J73" s="99" t="s">
        <v>267</v>
      </c>
    </row>
    <row r="74" spans="1:15" x14ac:dyDescent="0.3">
      <c r="J74" s="99" t="s">
        <v>268</v>
      </c>
      <c r="K74" s="158"/>
    </row>
    <row r="75" spans="1:15" x14ac:dyDescent="0.3">
      <c r="A75" s="181" t="s">
        <v>99</v>
      </c>
      <c r="J75" s="254">
        <f>+L34</f>
        <v>45473</v>
      </c>
      <c r="K75" s="158"/>
      <c r="L75" s="158" t="s">
        <v>100</v>
      </c>
    </row>
    <row r="76" spans="1:15" x14ac:dyDescent="0.3">
      <c r="B76" s="62" t="s">
        <v>101</v>
      </c>
      <c r="J76" s="174">
        <f>L35</f>
        <v>0</v>
      </c>
      <c r="K76" s="185"/>
      <c r="L76" s="158" t="s">
        <v>102</v>
      </c>
      <c r="N76" s="158" t="s">
        <v>25</v>
      </c>
    </row>
    <row r="77" spans="1:15" ht="15" thickBot="1" x14ac:dyDescent="0.35">
      <c r="H77" s="170" t="s">
        <v>103</v>
      </c>
      <c r="J77" s="246" t="s">
        <v>80</v>
      </c>
      <c r="K77" s="246"/>
      <c r="L77" s="246" t="s">
        <v>81</v>
      </c>
      <c r="N77" s="246" t="s">
        <v>82</v>
      </c>
    </row>
    <row r="78" spans="1:15" ht="15" thickBot="1" x14ac:dyDescent="0.35">
      <c r="B78" s="62" t="s">
        <v>104</v>
      </c>
      <c r="H78" s="213">
        <v>13308541</v>
      </c>
      <c r="J78" s="180">
        <f>H78*J76</f>
        <v>0</v>
      </c>
      <c r="K78" s="183"/>
      <c r="L78" s="81">
        <f>+L28</f>
        <v>0</v>
      </c>
      <c r="N78" s="180">
        <f>ROUND(L78-J78,0)</f>
        <v>0</v>
      </c>
    </row>
    <row r="79" spans="1:15" x14ac:dyDescent="0.3">
      <c r="B79" s="62" t="str">
        <f>+Regular!B79</f>
        <v xml:space="preserve"> ( Per page 30 of IPERS June 30, 2024 GASB 68 Actuary Report)</v>
      </c>
    </row>
    <row r="80" spans="1:15" x14ac:dyDescent="0.3">
      <c r="B80" s="69" t="s">
        <v>302</v>
      </c>
    </row>
    <row r="81" spans="1:12" x14ac:dyDescent="0.3">
      <c r="B81" s="69" t="s">
        <v>303</v>
      </c>
    </row>
    <row r="82" spans="1:12" x14ac:dyDescent="0.3">
      <c r="A82" s="159" t="s">
        <v>105</v>
      </c>
      <c r="B82" s="159"/>
      <c r="C82" s="159"/>
      <c r="D82" s="159"/>
      <c r="E82" s="159"/>
      <c r="F82" s="158"/>
      <c r="G82" s="159"/>
      <c r="H82" s="158" t="s">
        <v>79</v>
      </c>
      <c r="J82" s="158" t="s">
        <v>106</v>
      </c>
      <c r="K82" s="158"/>
      <c r="L82" s="158" t="s">
        <v>107</v>
      </c>
    </row>
    <row r="83" spans="1:12" x14ac:dyDescent="0.3">
      <c r="A83" s="182" t="s">
        <v>108</v>
      </c>
      <c r="B83" s="172" t="s">
        <v>109</v>
      </c>
      <c r="C83" s="182"/>
      <c r="D83" s="182"/>
      <c r="E83" s="182"/>
      <c r="F83" s="160"/>
      <c r="G83" s="182"/>
      <c r="H83" s="246" t="s">
        <v>110</v>
      </c>
      <c r="J83" s="246" t="s">
        <v>111</v>
      </c>
      <c r="K83" s="246"/>
      <c r="L83" s="246" t="s">
        <v>112</v>
      </c>
    </row>
    <row r="84" spans="1:12" x14ac:dyDescent="0.3">
      <c r="C84" s="62" t="s">
        <v>113</v>
      </c>
    </row>
    <row r="85" spans="1:12" x14ac:dyDescent="0.3">
      <c r="I85" s="158"/>
    </row>
    <row r="86" spans="1:12" x14ac:dyDescent="0.3">
      <c r="B86" s="62" t="s">
        <v>114</v>
      </c>
      <c r="H86" s="59">
        <f>J86-L86</f>
        <v>0</v>
      </c>
      <c r="I86" s="186"/>
      <c r="J86" s="59">
        <f>$N$69</f>
        <v>0</v>
      </c>
      <c r="K86" s="187"/>
      <c r="L86" s="59">
        <f>ROUND(N69/H94,0)</f>
        <v>0</v>
      </c>
    </row>
    <row r="87" spans="1:12" x14ac:dyDescent="0.3">
      <c r="H87" s="59"/>
      <c r="I87" s="188"/>
      <c r="J87" s="59"/>
      <c r="K87" s="187"/>
      <c r="L87" s="189"/>
    </row>
    <row r="88" spans="1:12" x14ac:dyDescent="0.3">
      <c r="B88" s="62" t="s">
        <v>115</v>
      </c>
      <c r="H88" s="64">
        <f>+N78-L88</f>
        <v>0</v>
      </c>
      <c r="I88" s="188"/>
      <c r="J88" s="64">
        <f>+N78</f>
        <v>0</v>
      </c>
      <c r="K88" s="190"/>
      <c r="L88" s="64">
        <f>ROUND(+N78/H94,0)</f>
        <v>0</v>
      </c>
    </row>
    <row r="89" spans="1:12" x14ac:dyDescent="0.3">
      <c r="H89" s="59"/>
      <c r="I89" s="187"/>
      <c r="J89" s="59"/>
      <c r="K89" s="187"/>
    </row>
    <row r="90" spans="1:12" ht="15" thickBot="1" x14ac:dyDescent="0.35">
      <c r="C90" s="159" t="s">
        <v>116</v>
      </c>
      <c r="H90" s="191">
        <f>H86+H88</f>
        <v>0</v>
      </c>
      <c r="I90" s="187"/>
      <c r="J90" s="191">
        <f>J86+J88</f>
        <v>0</v>
      </c>
      <c r="K90" s="192"/>
      <c r="L90" s="191">
        <f>L86+L88</f>
        <v>0</v>
      </c>
    </row>
    <row r="91" spans="1:12" ht="15" thickTop="1" x14ac:dyDescent="0.3">
      <c r="H91" s="193"/>
      <c r="I91" s="194"/>
      <c r="J91" s="193"/>
      <c r="K91" s="195"/>
      <c r="L91" s="193"/>
    </row>
    <row r="92" spans="1:12" x14ac:dyDescent="0.3">
      <c r="H92" s="90" t="s">
        <v>117</v>
      </c>
      <c r="I92" s="158"/>
      <c r="L92" s="90" t="s">
        <v>118</v>
      </c>
    </row>
    <row r="93" spans="1:12" x14ac:dyDescent="0.3">
      <c r="H93" s="193"/>
      <c r="I93" s="195"/>
      <c r="J93" s="193"/>
      <c r="K93" s="195"/>
      <c r="L93" s="193"/>
    </row>
    <row r="94" spans="1:12" x14ac:dyDescent="0.3">
      <c r="B94" s="62" t="s">
        <v>119</v>
      </c>
      <c r="H94" s="253">
        <f>'2024 Data'!$E$57</f>
        <v>5.36</v>
      </c>
      <c r="I94" s="163"/>
      <c r="J94" s="193" t="s">
        <v>42</v>
      </c>
      <c r="K94" s="195"/>
    </row>
    <row r="95" spans="1:12" x14ac:dyDescent="0.3">
      <c r="H95" s="195"/>
      <c r="J95" s="193"/>
      <c r="K95" s="195"/>
      <c r="L95" s="193"/>
    </row>
    <row r="96" spans="1:12" x14ac:dyDescent="0.3">
      <c r="I96" s="163"/>
      <c r="J96" s="193"/>
      <c r="K96" s="195"/>
      <c r="L96" s="193"/>
    </row>
    <row r="97" spans="1:12" x14ac:dyDescent="0.3">
      <c r="I97" s="163"/>
      <c r="J97" s="193"/>
      <c r="K97" s="195"/>
      <c r="L97" s="193"/>
    </row>
    <row r="98" spans="1:12" x14ac:dyDescent="0.3">
      <c r="I98" s="163"/>
      <c r="J98" s="193"/>
      <c r="K98" s="195"/>
      <c r="L98" s="193"/>
    </row>
    <row r="99" spans="1:12" x14ac:dyDescent="0.3">
      <c r="I99" s="163"/>
      <c r="J99" s="193"/>
      <c r="K99" s="195"/>
      <c r="L99" s="193"/>
    </row>
    <row r="100" spans="1:12" x14ac:dyDescent="0.3">
      <c r="I100" s="163"/>
      <c r="J100" s="193"/>
      <c r="K100" s="195"/>
      <c r="L100" s="193"/>
    </row>
    <row r="101" spans="1:12" x14ac:dyDescent="0.3">
      <c r="I101" s="163"/>
      <c r="J101" s="193"/>
      <c r="K101" s="195"/>
      <c r="L101" s="193"/>
    </row>
    <row r="102" spans="1:12" x14ac:dyDescent="0.3">
      <c r="I102" s="163"/>
      <c r="J102" s="193"/>
      <c r="K102" s="195"/>
      <c r="L102" s="193"/>
    </row>
    <row r="103" spans="1:12" x14ac:dyDescent="0.3">
      <c r="I103" s="163"/>
      <c r="J103" s="193"/>
      <c r="K103" s="195"/>
      <c r="L103" s="193"/>
    </row>
    <row r="104" spans="1:12" x14ac:dyDescent="0.3">
      <c r="I104" s="163"/>
      <c r="J104" s="193"/>
      <c r="K104" s="195"/>
      <c r="L104" s="193"/>
    </row>
    <row r="105" spans="1:12" x14ac:dyDescent="0.3">
      <c r="I105" s="163"/>
      <c r="J105" s="193"/>
      <c r="K105" s="195"/>
      <c r="L105" s="193"/>
    </row>
    <row r="106" spans="1:12" x14ac:dyDescent="0.3">
      <c r="I106" s="163"/>
      <c r="J106" s="193"/>
      <c r="K106" s="195"/>
      <c r="L106" s="193"/>
    </row>
    <row r="107" spans="1:12" x14ac:dyDescent="0.3">
      <c r="I107" s="163"/>
      <c r="J107" s="193"/>
      <c r="K107" s="195"/>
      <c r="L107" s="193"/>
    </row>
    <row r="108" spans="1:12" x14ac:dyDescent="0.3">
      <c r="I108" s="163"/>
      <c r="J108" s="193"/>
      <c r="K108" s="195"/>
      <c r="L108" s="193"/>
    </row>
    <row r="109" spans="1:12" x14ac:dyDescent="0.3">
      <c r="I109" s="163"/>
      <c r="J109" s="193"/>
      <c r="K109" s="195"/>
      <c r="L109" s="193"/>
    </row>
    <row r="110" spans="1:12" x14ac:dyDescent="0.3">
      <c r="I110" s="163"/>
      <c r="J110" s="193"/>
      <c r="K110" s="195"/>
      <c r="L110" s="193"/>
    </row>
    <row r="111" spans="1:12" s="181" customFormat="1" x14ac:dyDescent="0.3">
      <c r="A111" s="93" t="str">
        <f>+Regular!A111</f>
        <v>Journal Entries for Entity's Year Ended June 30, 2025 (June 30, 2024 measurement date)</v>
      </c>
      <c r="F111" s="194"/>
      <c r="I111" s="194"/>
      <c r="K111" s="194"/>
    </row>
    <row r="112" spans="1:12" ht="15" thickBot="1" x14ac:dyDescent="0.35">
      <c r="H112" s="196" t="s">
        <v>120</v>
      </c>
      <c r="I112" s="158"/>
      <c r="J112" s="196" t="s">
        <v>121</v>
      </c>
      <c r="K112" s="197"/>
    </row>
    <row r="113" spans="1:12" ht="15" thickTop="1" x14ac:dyDescent="0.3">
      <c r="A113" s="62" t="s">
        <v>79</v>
      </c>
      <c r="H113" s="197"/>
      <c r="I113" s="158"/>
      <c r="J113" s="197"/>
      <c r="K113" s="197"/>
    </row>
    <row r="114" spans="1:12" x14ac:dyDescent="0.3">
      <c r="B114" s="62" t="s">
        <v>122</v>
      </c>
      <c r="H114" s="81">
        <f>+N37</f>
        <v>0</v>
      </c>
      <c r="I114" s="164"/>
      <c r="J114" s="58">
        <v>0</v>
      </c>
      <c r="K114" s="198"/>
    </row>
    <row r="115" spans="1:12" x14ac:dyDescent="0.3">
      <c r="B115" s="62" t="s">
        <v>123</v>
      </c>
      <c r="H115" s="189">
        <f>+N38</f>
        <v>0</v>
      </c>
      <c r="I115" s="164"/>
      <c r="J115" s="58"/>
      <c r="K115" s="198"/>
    </row>
    <row r="116" spans="1:12" x14ac:dyDescent="0.3">
      <c r="B116" s="62" t="s">
        <v>124</v>
      </c>
      <c r="H116" s="59">
        <f>N39</f>
        <v>0</v>
      </c>
      <c r="I116" s="187"/>
      <c r="J116" s="59"/>
      <c r="K116" s="198"/>
      <c r="L116" s="62" t="s">
        <v>125</v>
      </c>
    </row>
    <row r="117" spans="1:12" x14ac:dyDescent="0.3">
      <c r="B117" s="62" t="s">
        <v>126</v>
      </c>
      <c r="H117" s="59">
        <f>IF(H90&lt;0,0,H90)</f>
        <v>0</v>
      </c>
      <c r="I117" s="187"/>
      <c r="K117" s="188"/>
    </row>
    <row r="118" spans="1:12" x14ac:dyDescent="0.3">
      <c r="A118" s="62" t="s">
        <v>45</v>
      </c>
      <c r="H118" s="59"/>
      <c r="I118" s="187"/>
      <c r="J118" s="59"/>
    </row>
    <row r="119" spans="1:12" x14ac:dyDescent="0.3">
      <c r="B119" s="62" t="s">
        <v>45</v>
      </c>
      <c r="H119" s="59">
        <f>L47</f>
        <v>0</v>
      </c>
      <c r="I119" s="187"/>
      <c r="J119" s="59"/>
      <c r="K119" s="187"/>
    </row>
    <row r="120" spans="1:12" ht="15" thickBot="1" x14ac:dyDescent="0.35">
      <c r="B120" s="62" t="s">
        <v>127</v>
      </c>
      <c r="H120" s="59">
        <f>L90</f>
        <v>0</v>
      </c>
      <c r="I120" s="187"/>
      <c r="J120" s="59"/>
      <c r="K120" s="187"/>
    </row>
    <row r="121" spans="1:12" ht="15" thickBot="1" x14ac:dyDescent="0.35">
      <c r="B121" s="62" t="s">
        <v>128</v>
      </c>
      <c r="H121" s="213">
        <v>0</v>
      </c>
      <c r="I121" s="187"/>
      <c r="J121" s="59"/>
      <c r="K121" s="187"/>
    </row>
    <row r="122" spans="1:12" x14ac:dyDescent="0.3">
      <c r="A122" s="62" t="s">
        <v>86</v>
      </c>
      <c r="H122" s="59"/>
      <c r="I122" s="187"/>
      <c r="J122" s="59"/>
      <c r="K122" s="187"/>
    </row>
    <row r="123" spans="1:12" x14ac:dyDescent="0.3">
      <c r="B123" s="62" t="s">
        <v>129</v>
      </c>
      <c r="H123" s="59"/>
      <c r="I123" s="187"/>
      <c r="J123" s="59">
        <f>O41</f>
        <v>0</v>
      </c>
      <c r="K123" s="187"/>
    </row>
    <row r="124" spans="1:12" x14ac:dyDescent="0.3">
      <c r="B124" s="62" t="s">
        <v>130</v>
      </c>
      <c r="H124" s="59"/>
      <c r="I124" s="187"/>
      <c r="J124" s="59">
        <f>O42</f>
        <v>0</v>
      </c>
      <c r="K124" s="187"/>
    </row>
    <row r="125" spans="1:12" x14ac:dyDescent="0.3">
      <c r="B125" s="62" t="s">
        <v>131</v>
      </c>
      <c r="H125" s="59">
        <f>-O43</f>
        <v>0</v>
      </c>
      <c r="I125" s="187"/>
      <c r="J125" s="59"/>
      <c r="K125" s="187"/>
      <c r="L125" s="62" t="s">
        <v>125</v>
      </c>
    </row>
    <row r="126" spans="1:12" x14ac:dyDescent="0.3">
      <c r="B126" s="62" t="s">
        <v>132</v>
      </c>
      <c r="H126" s="59"/>
      <c r="I126" s="187"/>
      <c r="J126" s="59">
        <f>IF(H90&lt;0,-H90,0)</f>
        <v>0</v>
      </c>
      <c r="K126" s="187"/>
    </row>
    <row r="127" spans="1:12" x14ac:dyDescent="0.3">
      <c r="A127" s="62" t="s">
        <v>133</v>
      </c>
      <c r="H127" s="59"/>
      <c r="I127" s="187"/>
      <c r="J127" s="59"/>
      <c r="K127" s="187"/>
    </row>
    <row r="128" spans="1:12" x14ac:dyDescent="0.3">
      <c r="B128" s="62" t="str">
        <f>+Regular!B128</f>
        <v xml:space="preserve"> - Entity contributions from 7/01/2023 through 6/30/2024</v>
      </c>
      <c r="H128" s="59"/>
      <c r="I128" s="187"/>
      <c r="J128" s="59">
        <f>L28</f>
        <v>0</v>
      </c>
      <c r="K128" s="187"/>
      <c r="L128" s="69" t="s">
        <v>172</v>
      </c>
    </row>
    <row r="129" spans="1:16" x14ac:dyDescent="0.3">
      <c r="A129" s="62" t="s">
        <v>7</v>
      </c>
      <c r="H129" s="59"/>
      <c r="I129" s="187"/>
      <c r="J129" s="59">
        <f>O45</f>
        <v>0</v>
      </c>
      <c r="K129" s="187"/>
    </row>
    <row r="130" spans="1:16" ht="28.5" customHeight="1" x14ac:dyDescent="0.3">
      <c r="A130" s="288" t="s">
        <v>136</v>
      </c>
      <c r="B130" s="288"/>
      <c r="C130" s="288"/>
      <c r="D130" s="288"/>
      <c r="E130" s="288"/>
      <c r="F130" s="288"/>
      <c r="G130" s="289"/>
      <c r="H130" s="214">
        <f>-'S + D Amort'!O33</f>
        <v>0</v>
      </c>
      <c r="I130" s="68"/>
      <c r="J130" s="214">
        <f>+'S + D Amort'!O19</f>
        <v>0</v>
      </c>
      <c r="K130" s="187"/>
      <c r="L130" s="287" t="s">
        <v>173</v>
      </c>
      <c r="M130" s="287"/>
      <c r="N130" s="287"/>
      <c r="O130" s="287"/>
      <c r="P130" s="287"/>
    </row>
    <row r="131" spans="1:16" x14ac:dyDescent="0.3">
      <c r="A131" s="69"/>
      <c r="B131" s="69" t="s">
        <v>138</v>
      </c>
      <c r="H131" s="214">
        <f>+J130</f>
        <v>0</v>
      </c>
      <c r="I131" s="68"/>
      <c r="J131" s="214">
        <f>+H130</f>
        <v>0</v>
      </c>
      <c r="K131" s="187"/>
      <c r="L131" s="287"/>
      <c r="M131" s="287"/>
      <c r="N131" s="287"/>
      <c r="O131" s="287"/>
      <c r="P131" s="287"/>
    </row>
    <row r="132" spans="1:16" x14ac:dyDescent="0.3">
      <c r="H132" s="59"/>
      <c r="I132" s="187"/>
      <c r="J132" s="59"/>
      <c r="K132" s="187"/>
      <c r="L132" s="287"/>
      <c r="M132" s="287"/>
      <c r="N132" s="287"/>
      <c r="O132" s="287"/>
      <c r="P132" s="287"/>
    </row>
    <row r="133" spans="1:16" ht="15" thickBot="1" x14ac:dyDescent="0.35">
      <c r="E133" s="62" t="s">
        <v>13</v>
      </c>
      <c r="H133" s="199">
        <f>SUM(H114:H132)</f>
        <v>0</v>
      </c>
      <c r="I133" s="200"/>
      <c r="J133" s="199">
        <f>SUM(J114:J132)</f>
        <v>0</v>
      </c>
      <c r="K133" s="201"/>
      <c r="L133" s="287"/>
      <c r="M133" s="287"/>
      <c r="N133" s="287"/>
      <c r="O133" s="287"/>
      <c r="P133" s="287"/>
    </row>
    <row r="134" spans="1:16" ht="15" thickTop="1" x14ac:dyDescent="0.3"/>
    <row r="135" spans="1:16" ht="15" thickBot="1" x14ac:dyDescent="0.35">
      <c r="G135" s="62" t="s">
        <v>139</v>
      </c>
      <c r="J135" s="65">
        <f>H133-J133</f>
        <v>0</v>
      </c>
      <c r="K135" s="201"/>
    </row>
    <row r="136" spans="1:16" ht="15" thickTop="1" x14ac:dyDescent="0.3">
      <c r="B136" s="69" t="str">
        <f>+Regular!B136</f>
        <v>To record pension accrual amounts for the year ended June 30, 2025</v>
      </c>
    </row>
    <row r="137" spans="1:16" x14ac:dyDescent="0.3">
      <c r="B137" s="69" t="str">
        <f>+Regular!B137</f>
        <v>based on the June 30, 2024 measurement date.</v>
      </c>
    </row>
    <row r="139" spans="1:16" x14ac:dyDescent="0.3">
      <c r="A139" s="181"/>
    </row>
    <row r="140" spans="1:16" x14ac:dyDescent="0.3">
      <c r="I140" s="62"/>
      <c r="K140" s="62"/>
    </row>
    <row r="141" spans="1:16" x14ac:dyDescent="0.3">
      <c r="I141" s="62"/>
      <c r="K141" s="62"/>
    </row>
    <row r="142" spans="1:16" x14ac:dyDescent="0.3">
      <c r="C142" s="23"/>
      <c r="I142" s="62"/>
      <c r="K142" s="62"/>
    </row>
    <row r="143" spans="1:16" x14ac:dyDescent="0.3">
      <c r="C143" s="23"/>
      <c r="I143" s="62"/>
      <c r="K143" s="62"/>
    </row>
    <row r="144" spans="1:16" x14ac:dyDescent="0.3">
      <c r="C144" s="23"/>
      <c r="I144" s="62"/>
      <c r="K144" s="62"/>
    </row>
    <row r="145" spans="1:11" x14ac:dyDescent="0.3">
      <c r="C145" s="23"/>
      <c r="I145" s="62"/>
      <c r="K145" s="62"/>
    </row>
    <row r="146" spans="1:11" x14ac:dyDescent="0.3">
      <c r="C146" s="23"/>
      <c r="I146" s="62"/>
      <c r="K146" s="62"/>
    </row>
    <row r="147" spans="1:11" x14ac:dyDescent="0.3">
      <c r="C147" s="23"/>
      <c r="I147" s="62"/>
      <c r="K147" s="62"/>
    </row>
    <row r="148" spans="1:11" x14ac:dyDescent="0.3">
      <c r="C148" s="23"/>
      <c r="I148" s="62"/>
      <c r="K148" s="62"/>
    </row>
    <row r="149" spans="1:11" x14ac:dyDescent="0.3">
      <c r="C149" s="23"/>
      <c r="I149" s="62"/>
      <c r="K149" s="62"/>
    </row>
    <row r="150" spans="1:11" x14ac:dyDescent="0.3">
      <c r="I150" s="62"/>
      <c r="K150" s="62"/>
    </row>
    <row r="151" spans="1:11" x14ac:dyDescent="0.3">
      <c r="I151" s="62"/>
      <c r="K151" s="62"/>
    </row>
    <row r="152" spans="1:11" x14ac:dyDescent="0.3">
      <c r="I152" s="62"/>
      <c r="K152" s="62"/>
    </row>
    <row r="153" spans="1:11" x14ac:dyDescent="0.3">
      <c r="A153" s="181"/>
    </row>
    <row r="154" spans="1:11" x14ac:dyDescent="0.3">
      <c r="H154" s="81"/>
      <c r="I154" s="187"/>
      <c r="J154" s="59"/>
      <c r="K154" s="187"/>
    </row>
    <row r="155" spans="1:11" x14ac:dyDescent="0.3">
      <c r="H155" s="81"/>
      <c r="I155" s="187"/>
      <c r="J155" s="59"/>
      <c r="K155" s="187"/>
    </row>
    <row r="156" spans="1:11" x14ac:dyDescent="0.3">
      <c r="H156" s="59"/>
      <c r="I156" s="187"/>
      <c r="J156" s="81"/>
      <c r="K156" s="187"/>
    </row>
    <row r="157" spans="1:11" x14ac:dyDescent="0.3">
      <c r="H157" s="59"/>
      <c r="I157" s="187"/>
      <c r="K157" s="187"/>
    </row>
    <row r="158" spans="1:11" x14ac:dyDescent="0.3">
      <c r="H158" s="59"/>
      <c r="I158" s="187"/>
      <c r="J158" s="81"/>
    </row>
    <row r="159" spans="1:11" x14ac:dyDescent="0.3">
      <c r="I159" s="187"/>
    </row>
    <row r="160" spans="1:11" x14ac:dyDescent="0.3">
      <c r="I160" s="187"/>
    </row>
  </sheetData>
  <mergeCells count="4">
    <mergeCell ref="J33:L33"/>
    <mergeCell ref="J56:L56"/>
    <mergeCell ref="A130:G130"/>
    <mergeCell ref="L130:P133"/>
  </mergeCells>
  <pageMargins left="0.7" right="0.7" top="0.75" bottom="0.75" header="0.3" footer="0.3"/>
  <pageSetup scale="64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7"/>
  <sheetViews>
    <sheetView topLeftCell="D7" zoomScale="80" zoomScaleNormal="80" workbookViewId="0">
      <selection activeCell="O34" sqref="O34"/>
    </sheetView>
  </sheetViews>
  <sheetFormatPr defaultColWidth="8.88671875" defaultRowHeight="14.4" x14ac:dyDescent="0.3"/>
  <cols>
    <col min="1" max="2" width="3.6640625" style="62" customWidth="1"/>
    <col min="3" max="3" width="13.109375" style="62" customWidth="1"/>
    <col min="4" max="4" width="11.88671875" style="62" customWidth="1"/>
    <col min="5" max="5" width="10.88671875" style="62" customWidth="1"/>
    <col min="6" max="6" width="8.88671875" style="62"/>
    <col min="7" max="11" width="14.6640625" style="62" customWidth="1"/>
    <col min="12" max="12" width="16" style="62" customWidth="1"/>
    <col min="13" max="17" width="14.6640625" style="62" customWidth="1"/>
    <col min="18" max="18" width="13.88671875" style="62" customWidth="1"/>
    <col min="19" max="20" width="13.33203125" style="62" customWidth="1"/>
    <col min="21" max="16384" width="8.88671875" style="62"/>
  </cols>
  <sheetData>
    <row r="1" spans="1:21" ht="15.6" x14ac:dyDescent="0.3">
      <c r="A1" s="155" t="s">
        <v>174</v>
      </c>
    </row>
    <row r="3" spans="1:21" x14ac:dyDescent="0.3">
      <c r="B3" s="159" t="s">
        <v>140</v>
      </c>
      <c r="C3" s="159"/>
      <c r="D3" s="159"/>
      <c r="E3" s="159"/>
      <c r="F3" s="159"/>
      <c r="G3" s="159"/>
      <c r="H3" s="159"/>
      <c r="I3" s="159" t="s">
        <v>141</v>
      </c>
      <c r="J3" s="159"/>
      <c r="K3" s="159"/>
    </row>
    <row r="5" spans="1:21" x14ac:dyDescent="0.3">
      <c r="B5" s="159" t="s">
        <v>142</v>
      </c>
    </row>
    <row r="7" spans="1:21" x14ac:dyDescent="0.3">
      <c r="F7" s="51"/>
      <c r="G7" s="51"/>
      <c r="H7" s="51"/>
      <c r="I7" s="293" t="s">
        <v>143</v>
      </c>
      <c r="J7" s="293"/>
      <c r="K7" s="293"/>
      <c r="L7" s="293"/>
      <c r="M7" s="293"/>
      <c r="N7" s="293"/>
      <c r="O7" s="293"/>
      <c r="P7" s="173"/>
      <c r="Q7" s="173"/>
      <c r="R7" s="173"/>
      <c r="S7" s="173"/>
      <c r="T7" s="173"/>
    </row>
    <row r="8" spans="1:21" ht="30" customHeight="1" x14ac:dyDescent="0.3">
      <c r="A8" s="292" t="s">
        <v>144</v>
      </c>
      <c r="B8" s="292"/>
      <c r="C8" s="292"/>
      <c r="D8" s="292"/>
      <c r="E8" s="292"/>
      <c r="F8" s="202" t="s">
        <v>145</v>
      </c>
      <c r="G8" s="202" t="s">
        <v>146</v>
      </c>
      <c r="H8" s="202" t="s">
        <v>147</v>
      </c>
      <c r="I8" s="173">
        <f>+'Reg - Amort'!I8</f>
        <v>2019</v>
      </c>
      <c r="J8" s="173">
        <f>+'Reg - Amort'!J8</f>
        <v>2020</v>
      </c>
      <c r="K8" s="173">
        <f>+'Reg - Amort'!K8</f>
        <v>2021</v>
      </c>
      <c r="L8" s="173">
        <f>+'Reg - Amort'!L8</f>
        <v>2022</v>
      </c>
      <c r="M8" s="173">
        <f>+'Reg - Amort'!M8</f>
        <v>2023</v>
      </c>
      <c r="N8" s="173">
        <f>+'Reg - Amort'!N8</f>
        <v>2024</v>
      </c>
      <c r="O8" s="173">
        <f>+'Reg - Amort'!O8</f>
        <v>2025</v>
      </c>
      <c r="P8" s="173">
        <f>+'Reg - Amort'!P8</f>
        <v>2026</v>
      </c>
      <c r="Q8" s="173">
        <f>+'Reg - Amort'!Q8</f>
        <v>2027</v>
      </c>
      <c r="R8" s="173">
        <f>+'Reg - Amort'!R8</f>
        <v>2028</v>
      </c>
      <c r="S8" s="173">
        <f>+'Reg - Amort'!S8</f>
        <v>2029</v>
      </c>
      <c r="T8" s="173">
        <f>+'Reg - Amort'!T8</f>
        <v>2030</v>
      </c>
    </row>
    <row r="9" spans="1:21" x14ac:dyDescent="0.3">
      <c r="B9" s="62" t="s">
        <v>148</v>
      </c>
    </row>
    <row r="10" spans="1:21" x14ac:dyDescent="0.3">
      <c r="F10" s="51">
        <f>+'Reg - Amort'!F10</f>
        <v>2019</v>
      </c>
      <c r="G10" s="253">
        <f>+'Reg - Amort'!G10</f>
        <v>5.28</v>
      </c>
      <c r="H10" s="206">
        <v>0</v>
      </c>
      <c r="I10" s="81">
        <f>ROUND(H10/G10,0)</f>
        <v>0</v>
      </c>
      <c r="J10" s="81">
        <f>ROUND(H10/G10,0)</f>
        <v>0</v>
      </c>
      <c r="K10" s="81">
        <f>ROUND(H10/G10,0)</f>
        <v>0</v>
      </c>
      <c r="L10" s="81">
        <f>ROUND(H10/G10,0)</f>
        <v>0</v>
      </c>
      <c r="M10" s="81">
        <f>ROUND(H10/G10,0)</f>
        <v>0</v>
      </c>
      <c r="N10" s="81">
        <f>H10-I10-J10-K10-L10-M10</f>
        <v>0</v>
      </c>
      <c r="O10" s="1"/>
      <c r="P10" s="1"/>
      <c r="Q10" s="1"/>
      <c r="R10" s="60"/>
      <c r="S10" s="60"/>
      <c r="T10" s="60"/>
      <c r="U10" s="56">
        <f t="shared" ref="U10:U16" si="0">SUM(I10:T10)-H10</f>
        <v>0</v>
      </c>
    </row>
    <row r="11" spans="1:21" x14ac:dyDescent="0.3">
      <c r="F11" s="51">
        <f>+'Reg - Amort'!F11</f>
        <v>2020</v>
      </c>
      <c r="G11" s="253">
        <f>+'Reg - Amort'!G11</f>
        <v>5.5</v>
      </c>
      <c r="H11" s="206">
        <v>0</v>
      </c>
      <c r="I11" s="1"/>
      <c r="J11" s="81">
        <f>ROUND(H11/G11,0)</f>
        <v>0</v>
      </c>
      <c r="K11" s="81">
        <f t="shared" ref="K11:K12" si="1">ROUND(H11/G11,0)</f>
        <v>0</v>
      </c>
      <c r="L11" s="81">
        <f t="shared" ref="L11:L13" si="2">ROUND(H11/G11,0)</f>
        <v>0</v>
      </c>
      <c r="M11" s="81">
        <f t="shared" ref="M11:M14" si="3">ROUND(H11/G11,0)</f>
        <v>0</v>
      </c>
      <c r="N11" s="81">
        <f>ROUND(H11/G11,0)</f>
        <v>0</v>
      </c>
      <c r="O11" s="257">
        <f>H11-J11-K11-L11-M11-N11</f>
        <v>0</v>
      </c>
      <c r="P11" s="15"/>
      <c r="Q11" s="15"/>
      <c r="R11" s="60"/>
      <c r="S11" s="60"/>
      <c r="T11" s="60"/>
      <c r="U11" s="56">
        <f t="shared" si="0"/>
        <v>0</v>
      </c>
    </row>
    <row r="12" spans="1:21" x14ac:dyDescent="0.3">
      <c r="F12" s="51">
        <f>+'Reg - Amort'!F12</f>
        <v>2021</v>
      </c>
      <c r="G12" s="253">
        <f>+'Reg - Amort'!G12</f>
        <v>5.49</v>
      </c>
      <c r="H12" s="206">
        <v>0</v>
      </c>
      <c r="I12" s="15"/>
      <c r="J12" s="81"/>
      <c r="K12" s="81">
        <f t="shared" si="1"/>
        <v>0</v>
      </c>
      <c r="L12" s="81">
        <f t="shared" si="2"/>
        <v>0</v>
      </c>
      <c r="M12" s="81">
        <f t="shared" si="3"/>
        <v>0</v>
      </c>
      <c r="N12" s="81">
        <f t="shared" ref="N12:N15" si="4">ROUND(H12/G12,0)</f>
        <v>0</v>
      </c>
      <c r="O12" s="257">
        <f>ROUND(H12/G12,0)</f>
        <v>0</v>
      </c>
      <c r="P12" s="81">
        <f>H12-K12-L12-M12-N12-O12</f>
        <v>0</v>
      </c>
      <c r="Q12" s="15"/>
      <c r="R12" s="60"/>
      <c r="S12" s="60"/>
      <c r="T12" s="60"/>
      <c r="U12" s="56">
        <f t="shared" si="0"/>
        <v>0</v>
      </c>
    </row>
    <row r="13" spans="1:21" x14ac:dyDescent="0.3">
      <c r="F13" s="51">
        <f>+'Reg - Amort'!F13</f>
        <v>2022</v>
      </c>
      <c r="G13" s="253">
        <f>+'Reg - Amort'!G13</f>
        <v>5.38</v>
      </c>
      <c r="H13" s="206">
        <v>0</v>
      </c>
      <c r="I13" s="15"/>
      <c r="J13" s="81"/>
      <c r="K13" s="81"/>
      <c r="L13" s="81">
        <f t="shared" si="2"/>
        <v>0</v>
      </c>
      <c r="M13" s="81">
        <f t="shared" si="3"/>
        <v>0</v>
      </c>
      <c r="N13" s="81">
        <f t="shared" si="4"/>
        <v>0</v>
      </c>
      <c r="O13" s="257">
        <f t="shared" ref="O13:O16" si="5">ROUND(H13/G13,0)</f>
        <v>0</v>
      </c>
      <c r="P13" s="81">
        <f>ROUND(H13/G13,0)</f>
        <v>0</v>
      </c>
      <c r="Q13" s="81">
        <f>H13-L13-M13-N13-O13-P13</f>
        <v>0</v>
      </c>
      <c r="R13" s="60"/>
      <c r="S13" s="60"/>
      <c r="T13" s="60"/>
      <c r="U13" s="56">
        <f t="shared" si="0"/>
        <v>0</v>
      </c>
    </row>
    <row r="14" spans="1:21" s="60" customFormat="1" x14ac:dyDescent="0.3">
      <c r="F14" s="51">
        <f>+'Reg - Amort'!F14</f>
        <v>2023</v>
      </c>
      <c r="G14" s="253">
        <f>+'Reg - Amort'!G14</f>
        <v>5.4</v>
      </c>
      <c r="H14" s="206">
        <v>0</v>
      </c>
      <c r="I14" s="15"/>
      <c r="J14" s="15"/>
      <c r="K14" s="15"/>
      <c r="L14" s="15"/>
      <c r="M14" s="81">
        <f t="shared" si="3"/>
        <v>0</v>
      </c>
      <c r="N14" s="81">
        <f t="shared" si="4"/>
        <v>0</v>
      </c>
      <c r="O14" s="257">
        <f t="shared" si="5"/>
        <v>0</v>
      </c>
      <c r="P14" s="81">
        <f>ROUND(H14/G14,0)</f>
        <v>0</v>
      </c>
      <c r="Q14" s="1">
        <f>ROUND(H14/G14,0)</f>
        <v>0</v>
      </c>
      <c r="R14" s="81">
        <f>H14-M14-N14-O14-P14-Q14</f>
        <v>0</v>
      </c>
      <c r="S14" s="81"/>
      <c r="U14" s="56">
        <f t="shared" si="0"/>
        <v>0</v>
      </c>
    </row>
    <row r="15" spans="1:21" s="60" customFormat="1" x14ac:dyDescent="0.3">
      <c r="F15" s="51">
        <f>+'Reg - Amort'!F15</f>
        <v>2024</v>
      </c>
      <c r="G15" s="253">
        <f>+'Reg - Amort'!G15</f>
        <v>5.4</v>
      </c>
      <c r="H15" s="206">
        <v>0</v>
      </c>
      <c r="I15" s="15"/>
      <c r="J15" s="15"/>
      <c r="K15" s="15"/>
      <c r="L15" s="15"/>
      <c r="M15" s="81"/>
      <c r="N15" s="81">
        <f t="shared" si="4"/>
        <v>0</v>
      </c>
      <c r="O15" s="257">
        <f t="shared" si="5"/>
        <v>0</v>
      </c>
      <c r="P15" s="81">
        <f>ROUND(H15/G15,0)</f>
        <v>0</v>
      </c>
      <c r="Q15" s="1">
        <f t="shared" ref="Q15:Q16" si="6">ROUND(H15/G15,0)</f>
        <v>0</v>
      </c>
      <c r="R15" s="1">
        <f>ROUND(H15/G15,0)</f>
        <v>0</v>
      </c>
      <c r="S15" s="1">
        <f>H15-N15-O15-P15-Q15-R15</f>
        <v>0</v>
      </c>
      <c r="U15" s="56">
        <f t="shared" si="0"/>
        <v>0</v>
      </c>
    </row>
    <row r="16" spans="1:21" s="60" customFormat="1" x14ac:dyDescent="0.3">
      <c r="F16" s="51">
        <f>+'Reg - Amort'!F16</f>
        <v>2025</v>
      </c>
      <c r="G16" s="253">
        <f>+'Reg - Amort'!G16</f>
        <v>5.36</v>
      </c>
      <c r="H16" s="206">
        <v>0</v>
      </c>
      <c r="I16" s="15"/>
      <c r="J16" s="15"/>
      <c r="K16" s="15"/>
      <c r="L16" s="15"/>
      <c r="M16" s="81"/>
      <c r="N16" s="1"/>
      <c r="O16" s="81">
        <f t="shared" si="5"/>
        <v>0</v>
      </c>
      <c r="P16" s="81">
        <f>ROUND(H16/G16,0)</f>
        <v>0</v>
      </c>
      <c r="Q16" s="1">
        <f t="shared" si="6"/>
        <v>0</v>
      </c>
      <c r="R16" s="1">
        <f t="shared" ref="R16" si="7">ROUND(H16/G16,0)</f>
        <v>0</v>
      </c>
      <c r="S16" s="1">
        <f>ROUND(H16/G16,0)</f>
        <v>0</v>
      </c>
      <c r="T16" s="1">
        <f>H16-O16-P16-Q16-R16-S16</f>
        <v>0</v>
      </c>
      <c r="U16" s="56">
        <f t="shared" si="0"/>
        <v>0</v>
      </c>
    </row>
    <row r="17" spans="1:21" x14ac:dyDescent="0.3">
      <c r="I17" s="79"/>
      <c r="J17" s="79"/>
      <c r="K17" s="79"/>
      <c r="L17" s="79"/>
      <c r="M17" s="79"/>
      <c r="N17" s="79"/>
      <c r="O17" s="15"/>
      <c r="P17" s="79"/>
      <c r="Q17" s="79"/>
      <c r="R17" s="79"/>
      <c r="U17" s="60"/>
    </row>
    <row r="18" spans="1:21" x14ac:dyDescent="0.3">
      <c r="C18" s="62" t="s">
        <v>149</v>
      </c>
      <c r="I18" s="203">
        <f t="shared" ref="I18:T18" si="8">SUM(I10:I17)</f>
        <v>0</v>
      </c>
      <c r="J18" s="203">
        <f t="shared" si="8"/>
        <v>0</v>
      </c>
      <c r="K18" s="203">
        <f t="shared" si="8"/>
        <v>0</v>
      </c>
      <c r="L18" s="203">
        <f t="shared" si="8"/>
        <v>0</v>
      </c>
      <c r="M18" s="203">
        <f t="shared" si="8"/>
        <v>0</v>
      </c>
      <c r="N18" s="203">
        <f t="shared" si="8"/>
        <v>0</v>
      </c>
      <c r="O18" s="55">
        <f t="shared" si="8"/>
        <v>0</v>
      </c>
      <c r="P18" s="203">
        <f t="shared" si="8"/>
        <v>0</v>
      </c>
      <c r="Q18" s="203">
        <f t="shared" si="8"/>
        <v>0</v>
      </c>
      <c r="R18" s="203">
        <f t="shared" si="8"/>
        <v>0</v>
      </c>
      <c r="S18" s="203">
        <f t="shared" si="8"/>
        <v>0</v>
      </c>
      <c r="T18" s="203">
        <f t="shared" si="8"/>
        <v>0</v>
      </c>
      <c r="U18" s="56">
        <f>SUM(I18:T18)-SUM(H10:H17)</f>
        <v>0</v>
      </c>
    </row>
    <row r="19" spans="1:21" x14ac:dyDescent="0.3">
      <c r="I19" s="79"/>
      <c r="J19" s="79"/>
      <c r="K19" s="79"/>
      <c r="L19" s="79"/>
      <c r="M19" s="79"/>
      <c r="N19" s="79"/>
      <c r="O19" s="257">
        <f>SUM(O11:O15)</f>
        <v>0</v>
      </c>
      <c r="P19" s="79"/>
      <c r="Q19" s="79"/>
      <c r="U19" s="60"/>
    </row>
    <row r="20" spans="1:21" x14ac:dyDescent="0.3">
      <c r="G20" s="8" t="s">
        <v>275</v>
      </c>
      <c r="H20" s="81">
        <f>+'Sheriffs and Deputies'!J90</f>
        <v>0</v>
      </c>
      <c r="I20" s="79"/>
      <c r="J20" s="79"/>
      <c r="K20" s="79"/>
      <c r="L20" s="79"/>
      <c r="M20" s="79"/>
      <c r="N20" s="79"/>
      <c r="O20" s="258" t="s">
        <v>272</v>
      </c>
      <c r="P20" s="79"/>
      <c r="Q20" s="79"/>
      <c r="U20" s="60"/>
    </row>
    <row r="21" spans="1:21" x14ac:dyDescent="0.3">
      <c r="I21" s="79"/>
      <c r="J21" s="79"/>
      <c r="K21" s="79"/>
      <c r="L21" s="79"/>
      <c r="M21" s="79"/>
      <c r="N21" s="79"/>
      <c r="O21" s="81"/>
      <c r="P21" s="79"/>
      <c r="Q21" s="79"/>
      <c r="U21" s="60"/>
    </row>
    <row r="22" spans="1:21" ht="30.75" customHeight="1" x14ac:dyDescent="0.3">
      <c r="A22" s="292" t="s">
        <v>150</v>
      </c>
      <c r="B22" s="292"/>
      <c r="C22" s="292"/>
      <c r="D22" s="292"/>
      <c r="E22" s="292"/>
      <c r="I22" s="79"/>
      <c r="J22" s="79"/>
      <c r="K22" s="79"/>
      <c r="L22" s="79"/>
      <c r="M22" s="79"/>
      <c r="N22" s="79"/>
      <c r="P22" s="79"/>
      <c r="Q22" s="79"/>
      <c r="U22" s="60"/>
    </row>
    <row r="23" spans="1:21" x14ac:dyDescent="0.3">
      <c r="B23" s="62" t="s">
        <v>151</v>
      </c>
      <c r="I23" s="79"/>
      <c r="J23" s="79"/>
      <c r="K23" s="79"/>
      <c r="L23" s="79"/>
      <c r="M23" s="79"/>
      <c r="N23" s="79"/>
      <c r="O23" s="15"/>
      <c r="P23" s="79"/>
      <c r="Q23" s="79"/>
      <c r="U23" s="60"/>
    </row>
    <row r="24" spans="1:21" x14ac:dyDescent="0.3">
      <c r="F24" s="51">
        <f>+'Reg - Amort'!F25</f>
        <v>2019</v>
      </c>
      <c r="G24" s="253">
        <f>+'Reg - Amort'!G25</f>
        <v>5.28</v>
      </c>
      <c r="H24" s="206">
        <v>0</v>
      </c>
      <c r="I24" s="81">
        <f>ROUND(H24/G24,0)</f>
        <v>0</v>
      </c>
      <c r="J24" s="81">
        <f>ROUND(H24/G24,0)</f>
        <v>0</v>
      </c>
      <c r="K24" s="81">
        <f>ROUND(H24/G24,0)</f>
        <v>0</v>
      </c>
      <c r="L24" s="81">
        <f>ROUND(H24/G24,0)</f>
        <v>0</v>
      </c>
      <c r="M24" s="81">
        <f>ROUND(H24/G24,0)</f>
        <v>0</v>
      </c>
      <c r="N24" s="81">
        <f>H24-I24-J24-K24-L24-M24</f>
        <v>0</v>
      </c>
      <c r="O24" s="1"/>
      <c r="P24" s="81"/>
      <c r="Q24" s="81"/>
      <c r="R24" s="60"/>
      <c r="S24" s="60"/>
      <c r="T24" s="60"/>
      <c r="U24" s="56">
        <f t="shared" ref="U24:U30" si="9">SUM(I24:T24)-H24</f>
        <v>0</v>
      </c>
    </row>
    <row r="25" spans="1:21" x14ac:dyDescent="0.3">
      <c r="F25" s="51">
        <f>+'Reg - Amort'!F26</f>
        <v>2020</v>
      </c>
      <c r="G25" s="253">
        <f>+'Reg - Amort'!G26</f>
        <v>5.5</v>
      </c>
      <c r="H25" s="206">
        <v>0</v>
      </c>
      <c r="I25" s="81"/>
      <c r="J25" s="81">
        <f>ROUND(H25/G25,0)</f>
        <v>0</v>
      </c>
      <c r="K25" s="81">
        <f>ROUND(H25/G25,0)</f>
        <v>0</v>
      </c>
      <c r="L25" s="81">
        <f>ROUND(H25/G25,0)</f>
        <v>0</v>
      </c>
      <c r="M25" s="81">
        <f>ROUND(H25/G25,0)</f>
        <v>0</v>
      </c>
      <c r="N25" s="81">
        <f>ROUND(H25/G25,0)</f>
        <v>0</v>
      </c>
      <c r="O25" s="257">
        <f>H25-J25-K25-L25-M25-N25</f>
        <v>0</v>
      </c>
      <c r="P25" s="81"/>
      <c r="Q25" s="81"/>
      <c r="R25" s="60"/>
      <c r="S25" s="60"/>
      <c r="T25" s="60"/>
      <c r="U25" s="56">
        <f t="shared" si="9"/>
        <v>0</v>
      </c>
    </row>
    <row r="26" spans="1:21" x14ac:dyDescent="0.3">
      <c r="F26" s="51">
        <f>+'Reg - Amort'!F27</f>
        <v>2021</v>
      </c>
      <c r="G26" s="253">
        <f>+'Reg - Amort'!G27</f>
        <v>5.49</v>
      </c>
      <c r="H26" s="206">
        <v>0</v>
      </c>
      <c r="I26" s="81"/>
      <c r="J26" s="81"/>
      <c r="K26" s="81">
        <f>ROUND(H26/G26,0)</f>
        <v>0</v>
      </c>
      <c r="L26" s="81">
        <f>ROUND(H26/G26,0)</f>
        <v>0</v>
      </c>
      <c r="M26" s="81">
        <f>ROUND(H26/G26,0)</f>
        <v>0</v>
      </c>
      <c r="N26" s="81">
        <f>ROUND(H26/G26,0)</f>
        <v>0</v>
      </c>
      <c r="O26" s="257">
        <f>ROUND(H26/G26,0)</f>
        <v>0</v>
      </c>
      <c r="P26" s="81">
        <f>H26-K26-L26-M26-N26-O26</f>
        <v>0</v>
      </c>
      <c r="Q26" s="81"/>
      <c r="R26" s="60"/>
      <c r="S26" s="60"/>
      <c r="T26" s="60"/>
      <c r="U26" s="56">
        <f t="shared" si="9"/>
        <v>0</v>
      </c>
    </row>
    <row r="27" spans="1:21" x14ac:dyDescent="0.3">
      <c r="F27" s="51">
        <f>+'Reg - Amort'!F28</f>
        <v>2022</v>
      </c>
      <c r="G27" s="253">
        <f>+'Reg - Amort'!G28</f>
        <v>5.38</v>
      </c>
      <c r="H27" s="206">
        <v>0</v>
      </c>
      <c r="I27" s="15"/>
      <c r="J27" s="15"/>
      <c r="K27" s="81"/>
      <c r="L27" s="81">
        <f>ROUND(H27/G27,0)</f>
        <v>0</v>
      </c>
      <c r="M27" s="81">
        <f>ROUND(H27/G27,0)</f>
        <v>0</v>
      </c>
      <c r="N27" s="81">
        <f>ROUND(H27/G27,0)</f>
        <v>0</v>
      </c>
      <c r="O27" s="257">
        <f>ROUND(H27/G27,0)</f>
        <v>0</v>
      </c>
      <c r="P27" s="81">
        <f>ROUND(H27/G27,0)</f>
        <v>0</v>
      </c>
      <c r="Q27" s="81">
        <f>H27-L27-M27-N27-O27-P27</f>
        <v>0</v>
      </c>
      <c r="R27" s="60"/>
      <c r="S27" s="60"/>
      <c r="T27" s="60"/>
      <c r="U27" s="56">
        <f t="shared" si="9"/>
        <v>0</v>
      </c>
    </row>
    <row r="28" spans="1:21" s="60" customFormat="1" x14ac:dyDescent="0.3">
      <c r="F28" s="51">
        <f>+'Reg - Amort'!F29</f>
        <v>2023</v>
      </c>
      <c r="G28" s="253">
        <f>+'Reg - Amort'!G29</f>
        <v>5.4</v>
      </c>
      <c r="H28" s="206">
        <v>0</v>
      </c>
      <c r="I28" s="81"/>
      <c r="J28" s="81"/>
      <c r="K28" s="81"/>
      <c r="L28" s="81"/>
      <c r="M28" s="81">
        <f>ROUND(H28/G28,0)</f>
        <v>0</v>
      </c>
      <c r="N28" s="81">
        <f>ROUND(H28/G28,0)</f>
        <v>0</v>
      </c>
      <c r="O28" s="257">
        <f>ROUND(H28/G28,0)</f>
        <v>0</v>
      </c>
      <c r="P28" s="81">
        <f>ROUND(H28/G28,0)</f>
        <v>0</v>
      </c>
      <c r="Q28" s="81">
        <f>ROUND(H28/G28,0)</f>
        <v>0</v>
      </c>
      <c r="R28" s="81">
        <f>H28-M28-N28-O28-P28-Q28</f>
        <v>0</v>
      </c>
      <c r="U28" s="56">
        <f t="shared" si="9"/>
        <v>0</v>
      </c>
    </row>
    <row r="29" spans="1:21" s="60" customFormat="1" x14ac:dyDescent="0.3">
      <c r="F29" s="51">
        <f>+'Reg - Amort'!F30</f>
        <v>2024</v>
      </c>
      <c r="G29" s="253">
        <f>+'Reg - Amort'!G30</f>
        <v>5.4</v>
      </c>
      <c r="H29" s="206">
        <v>0</v>
      </c>
      <c r="I29" s="1"/>
      <c r="J29" s="1"/>
      <c r="K29" s="1"/>
      <c r="L29" s="1"/>
      <c r="M29" s="1"/>
      <c r="N29" s="1">
        <f>ROUND(H29/G29,0)</f>
        <v>0</v>
      </c>
      <c r="O29" s="257">
        <f>ROUND(H29/G29,0)</f>
        <v>0</v>
      </c>
      <c r="P29" s="1">
        <f>ROUND(H29/G29,0)</f>
        <v>0</v>
      </c>
      <c r="Q29" s="1">
        <f>ROUND(H29/G29,0)</f>
        <v>0</v>
      </c>
      <c r="R29" s="1">
        <f>ROUND(H29/G29,0)</f>
        <v>0</v>
      </c>
      <c r="S29" s="1">
        <f>H29-N29-O29-P29-Q29-R29</f>
        <v>0</v>
      </c>
      <c r="T29" s="1"/>
      <c r="U29" s="56">
        <f t="shared" si="9"/>
        <v>0</v>
      </c>
    </row>
    <row r="30" spans="1:21" s="60" customFormat="1" x14ac:dyDescent="0.3">
      <c r="F30" s="51">
        <f>+'Reg - Amort'!F31</f>
        <v>2025</v>
      </c>
      <c r="G30" s="253">
        <f>+G16</f>
        <v>5.36</v>
      </c>
      <c r="H30" s="206">
        <v>0</v>
      </c>
      <c r="I30" s="1"/>
      <c r="J30" s="1"/>
      <c r="K30" s="1"/>
      <c r="L30" s="1"/>
      <c r="M30" s="1"/>
      <c r="N30" s="1"/>
      <c r="O30" s="1">
        <f>ROUND(H30/G30,0)</f>
        <v>0</v>
      </c>
      <c r="P30" s="1">
        <f>ROUND(H30/G30,0)</f>
        <v>0</v>
      </c>
      <c r="Q30" s="1">
        <f>ROUND(H30/G30,0)</f>
        <v>0</v>
      </c>
      <c r="R30" s="1">
        <f>ROUND(H30/G30,0)</f>
        <v>0</v>
      </c>
      <c r="S30" s="1">
        <f>ROUND(H30/G30,0)</f>
        <v>0</v>
      </c>
      <c r="T30" s="1">
        <f>H30-O30-P30-Q30-R30-S30</f>
        <v>0</v>
      </c>
      <c r="U30" s="56">
        <f t="shared" si="9"/>
        <v>0</v>
      </c>
    </row>
    <row r="31" spans="1:21" x14ac:dyDescent="0.3">
      <c r="H31" s="81"/>
      <c r="I31" s="81"/>
      <c r="J31" s="81"/>
      <c r="K31" s="81"/>
      <c r="L31" s="81"/>
      <c r="M31" s="81"/>
      <c r="N31" s="81"/>
      <c r="O31" s="1"/>
      <c r="P31" s="81"/>
      <c r="Q31" s="81"/>
      <c r="U31" s="60"/>
    </row>
    <row r="32" spans="1:21" ht="15" thickBot="1" x14ac:dyDescent="0.35">
      <c r="C32" s="62" t="s">
        <v>152</v>
      </c>
      <c r="H32" s="81"/>
      <c r="I32" s="82">
        <f t="shared" ref="I32:T32" si="10">SUM(I24:I31)</f>
        <v>0</v>
      </c>
      <c r="J32" s="82">
        <f t="shared" si="10"/>
        <v>0</v>
      </c>
      <c r="K32" s="82">
        <f t="shared" si="10"/>
        <v>0</v>
      </c>
      <c r="L32" s="82">
        <f t="shared" si="10"/>
        <v>0</v>
      </c>
      <c r="M32" s="82">
        <f t="shared" si="10"/>
        <v>0</v>
      </c>
      <c r="N32" s="82">
        <f t="shared" si="10"/>
        <v>0</v>
      </c>
      <c r="O32" s="3">
        <f t="shared" si="10"/>
        <v>0</v>
      </c>
      <c r="P32" s="82">
        <f t="shared" si="10"/>
        <v>0</v>
      </c>
      <c r="Q32" s="82">
        <f t="shared" si="10"/>
        <v>0</v>
      </c>
      <c r="R32" s="82">
        <f t="shared" si="10"/>
        <v>0</v>
      </c>
      <c r="S32" s="82">
        <f t="shared" si="10"/>
        <v>0</v>
      </c>
      <c r="T32" s="82">
        <f t="shared" si="10"/>
        <v>0</v>
      </c>
      <c r="U32" s="56">
        <f>SUM(I32:T32)-SUM(H24:H31)</f>
        <v>0</v>
      </c>
    </row>
    <row r="33" spans="1:17" ht="15" thickTop="1" x14ac:dyDescent="0.3">
      <c r="H33" s="81"/>
      <c r="I33" s="81"/>
      <c r="J33" s="81"/>
      <c r="K33" s="81"/>
      <c r="L33" s="81"/>
      <c r="M33" s="81"/>
      <c r="N33" s="81"/>
      <c r="O33" s="257">
        <f>SUM(O25:O29)</f>
        <v>0</v>
      </c>
      <c r="P33" s="81"/>
      <c r="Q33" s="81"/>
    </row>
    <row r="34" spans="1:17" x14ac:dyDescent="0.3">
      <c r="I34" s="79"/>
      <c r="J34" s="79"/>
      <c r="K34" s="79"/>
      <c r="L34" s="79"/>
      <c r="M34" s="79"/>
      <c r="N34" s="79"/>
      <c r="O34" s="258" t="s">
        <v>272</v>
      </c>
    </row>
    <row r="35" spans="1:17" x14ac:dyDescent="0.3">
      <c r="A35" s="181" t="s">
        <v>153</v>
      </c>
    </row>
    <row r="36" spans="1:17" x14ac:dyDescent="0.3">
      <c r="G36" s="291" t="s">
        <v>46</v>
      </c>
      <c r="H36" s="291"/>
      <c r="I36" s="291"/>
      <c r="J36" s="291"/>
      <c r="L36" s="291" t="s">
        <v>47</v>
      </c>
      <c r="M36" s="291"/>
      <c r="N36" s="291"/>
      <c r="O36" s="291"/>
    </row>
    <row r="37" spans="1:17" x14ac:dyDescent="0.3">
      <c r="B37" s="62" t="s">
        <v>154</v>
      </c>
      <c r="G37" s="51" t="s">
        <v>155</v>
      </c>
      <c r="H37" s="80" t="s">
        <v>156</v>
      </c>
      <c r="I37" s="80" t="s">
        <v>157</v>
      </c>
      <c r="L37" s="51" t="s">
        <v>155</v>
      </c>
      <c r="M37" s="80" t="s">
        <v>156</v>
      </c>
      <c r="N37" s="80" t="s">
        <v>157</v>
      </c>
    </row>
    <row r="38" spans="1:17" x14ac:dyDescent="0.3">
      <c r="B38" s="62" t="s">
        <v>158</v>
      </c>
      <c r="G38" s="279" t="s">
        <v>159</v>
      </c>
      <c r="H38" s="45" t="s">
        <v>160</v>
      </c>
      <c r="I38" s="45" t="s">
        <v>161</v>
      </c>
      <c r="J38" s="45" t="s">
        <v>162</v>
      </c>
      <c r="L38" s="45" t="s">
        <v>159</v>
      </c>
      <c r="M38" s="45" t="s">
        <v>160</v>
      </c>
      <c r="N38" s="45" t="s">
        <v>161</v>
      </c>
      <c r="O38" s="45" t="s">
        <v>162</v>
      </c>
    </row>
    <row r="39" spans="1:17" x14ac:dyDescent="0.3">
      <c r="E39" s="62">
        <f>+P8</f>
        <v>2026</v>
      </c>
      <c r="G39" s="81">
        <v>32895269</v>
      </c>
      <c r="H39" s="81">
        <f>G39*D46</f>
        <v>0</v>
      </c>
      <c r="I39" s="81">
        <f>P18</f>
        <v>0</v>
      </c>
      <c r="J39" s="81">
        <f t="shared" ref="J39:J44" si="11">SUM(H39:I39)</f>
        <v>0</v>
      </c>
      <c r="K39" s="81"/>
      <c r="L39" s="81">
        <v>-38823086</v>
      </c>
      <c r="M39" s="81">
        <f>L39*D46</f>
        <v>0</v>
      </c>
      <c r="N39" s="81">
        <f>P32</f>
        <v>0</v>
      </c>
      <c r="O39" s="81">
        <f t="shared" ref="O39:O44" si="12">SUM(M39:N39)</f>
        <v>0</v>
      </c>
    </row>
    <row r="40" spans="1:17" x14ac:dyDescent="0.3">
      <c r="A40" s="181"/>
      <c r="E40" s="62">
        <f>+Q8</f>
        <v>2027</v>
      </c>
      <c r="G40" s="81">
        <v>31588305</v>
      </c>
      <c r="H40" s="81">
        <f>G40*D46</f>
        <v>0</v>
      </c>
      <c r="I40" s="81">
        <f>+Q18</f>
        <v>0</v>
      </c>
      <c r="J40" s="81">
        <f t="shared" si="11"/>
        <v>0</v>
      </c>
      <c r="K40" s="81"/>
      <c r="L40" s="81">
        <v>-5421985</v>
      </c>
      <c r="M40" s="81">
        <f>L40*D46</f>
        <v>0</v>
      </c>
      <c r="N40" s="81">
        <f>Q32</f>
        <v>0</v>
      </c>
      <c r="O40" s="81">
        <f t="shared" si="12"/>
        <v>0</v>
      </c>
    </row>
    <row r="41" spans="1:17" x14ac:dyDescent="0.3">
      <c r="E41" s="62">
        <f>+R8</f>
        <v>2028</v>
      </c>
      <c r="G41" s="81">
        <v>8936572</v>
      </c>
      <c r="H41" s="81">
        <f>G41*D46</f>
        <v>0</v>
      </c>
      <c r="I41" s="81">
        <f>+R18</f>
        <v>0</v>
      </c>
      <c r="J41" s="81">
        <f t="shared" si="11"/>
        <v>0</v>
      </c>
      <c r="K41" s="81"/>
      <c r="L41" s="81">
        <v>-4303240</v>
      </c>
      <c r="M41" s="81">
        <f>L41*D46</f>
        <v>0</v>
      </c>
      <c r="N41" s="81">
        <f>R32</f>
        <v>0</v>
      </c>
      <c r="O41" s="81">
        <f t="shared" si="12"/>
        <v>0</v>
      </c>
    </row>
    <row r="42" spans="1:17" x14ac:dyDescent="0.3">
      <c r="E42" s="62">
        <f>S8</f>
        <v>2029</v>
      </c>
      <c r="G42" s="81">
        <v>3446812</v>
      </c>
      <c r="H42" s="81">
        <f>G42*D46</f>
        <v>0</v>
      </c>
      <c r="I42" s="81">
        <f>+S18</f>
        <v>0</v>
      </c>
      <c r="J42" s="81">
        <f t="shared" si="11"/>
        <v>0</v>
      </c>
      <c r="K42" s="81"/>
      <c r="L42" s="81">
        <v>-3557411</v>
      </c>
      <c r="M42" s="81">
        <f>L42*D46</f>
        <v>0</v>
      </c>
      <c r="N42" s="81">
        <f>S32</f>
        <v>0</v>
      </c>
      <c r="O42" s="81">
        <f t="shared" si="12"/>
        <v>0</v>
      </c>
    </row>
    <row r="43" spans="1:17" x14ac:dyDescent="0.3">
      <c r="E43" s="62">
        <f>+T8</f>
        <v>2030</v>
      </c>
      <c r="G43" s="81">
        <v>651909</v>
      </c>
      <c r="H43" s="81">
        <f>G43*D46</f>
        <v>0</v>
      </c>
      <c r="I43" s="81">
        <f>+T18</f>
        <v>0</v>
      </c>
      <c r="J43" s="81">
        <f t="shared" si="11"/>
        <v>0</v>
      </c>
      <c r="K43" s="81"/>
      <c r="L43" s="81">
        <v>0</v>
      </c>
      <c r="M43" s="81">
        <f>L43*D46</f>
        <v>0</v>
      </c>
      <c r="N43" s="81">
        <f>T32</f>
        <v>0</v>
      </c>
      <c r="O43" s="81">
        <f t="shared" si="12"/>
        <v>0</v>
      </c>
    </row>
    <row r="44" spans="1:17" x14ac:dyDescent="0.3">
      <c r="E44" s="90" t="s">
        <v>163</v>
      </c>
      <c r="G44" s="81">
        <v>0</v>
      </c>
      <c r="H44" s="81">
        <f>G44*D46</f>
        <v>0</v>
      </c>
      <c r="I44" s="81"/>
      <c r="J44" s="81">
        <f t="shared" si="11"/>
        <v>0</v>
      </c>
      <c r="K44" s="81"/>
      <c r="L44" s="81">
        <v>0</v>
      </c>
      <c r="M44" s="81">
        <f>L44*0.0047377</f>
        <v>0</v>
      </c>
      <c r="N44" s="81"/>
      <c r="O44" s="81">
        <f t="shared" si="12"/>
        <v>0</v>
      </c>
    </row>
    <row r="45" spans="1:17" ht="15" thickBot="1" x14ac:dyDescent="0.35">
      <c r="E45" s="62" t="s">
        <v>164</v>
      </c>
      <c r="G45" s="82">
        <f>SUM(G39:G44)</f>
        <v>77518867</v>
      </c>
      <c r="H45" s="82">
        <f>SUM(H39:H44)</f>
        <v>0</v>
      </c>
      <c r="I45" s="82">
        <f>SUM(I39:I44)</f>
        <v>0</v>
      </c>
      <c r="J45" s="82">
        <f>SUM(J39:J44)</f>
        <v>0</v>
      </c>
      <c r="K45" s="81"/>
      <c r="L45" s="82">
        <f>SUM(L39:L44)</f>
        <v>-52105722</v>
      </c>
      <c r="M45" s="82">
        <f>SUM(M39:M44)</f>
        <v>0</v>
      </c>
      <c r="N45" s="82">
        <f>SUM(N39:N44)</f>
        <v>0</v>
      </c>
      <c r="O45" s="82">
        <f>SUM(O39:O44)</f>
        <v>0</v>
      </c>
    </row>
    <row r="46" spans="1:17" ht="15.6" thickTop="1" thickBot="1" x14ac:dyDescent="0.35">
      <c r="A46" s="62" t="s">
        <v>165</v>
      </c>
      <c r="D46" s="204">
        <f>'Sheriffs and Deputies'!$G$18</f>
        <v>0</v>
      </c>
      <c r="G46" s="1" t="str">
        <f>IF(G45='2024 Data'!J16,"","ERROR")</f>
        <v/>
      </c>
      <c r="H46" s="60" t="s">
        <v>166</v>
      </c>
      <c r="I46" s="1"/>
      <c r="J46" s="1"/>
      <c r="K46" s="1"/>
      <c r="L46" s="1" t="str">
        <f>IF(-L45='2024 Data'!J22,"","ERROR")</f>
        <v/>
      </c>
      <c r="M46" s="1" t="s">
        <v>167</v>
      </c>
    </row>
    <row r="47" spans="1:17" ht="15" thickTop="1" x14ac:dyDescent="0.3"/>
    <row r="52" spans="6:6" x14ac:dyDescent="0.3">
      <c r="F52" s="81"/>
    </row>
    <row r="53" spans="6:6" x14ac:dyDescent="0.3">
      <c r="F53" s="81"/>
    </row>
    <row r="54" spans="6:6" x14ac:dyDescent="0.3">
      <c r="F54" s="81"/>
    </row>
    <row r="55" spans="6:6" x14ac:dyDescent="0.3">
      <c r="F55" s="81"/>
    </row>
    <row r="56" spans="6:6" x14ac:dyDescent="0.3">
      <c r="F56" s="81"/>
    </row>
    <row r="57" spans="6:6" x14ac:dyDescent="0.3">
      <c r="F57" s="81"/>
    </row>
  </sheetData>
  <mergeCells count="5">
    <mergeCell ref="I7:O7"/>
    <mergeCell ref="G36:J36"/>
    <mergeCell ref="L36:O36"/>
    <mergeCell ref="A8:E8"/>
    <mergeCell ref="A22:E22"/>
  </mergeCells>
  <conditionalFormatting sqref="U10:U16 U18 U24:U30">
    <cfRule type="cellIs" dxfId="3" priority="2" operator="notEqual">
      <formula>0</formula>
    </cfRule>
  </conditionalFormatting>
  <conditionalFormatting sqref="U32">
    <cfRule type="cellIs" dxfId="2" priority="1" operator="notEqual">
      <formula>0</formula>
    </cfRule>
  </conditionalFormatting>
  <pageMargins left="0.7" right="0.7" top="0.75" bottom="0.75" header="0.3" footer="0.3"/>
  <pageSetup scale="5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0"/>
  <sheetViews>
    <sheetView topLeftCell="A71" zoomScale="80" zoomScaleNormal="80" zoomScalePageLayoutView="50" workbookViewId="0">
      <selection activeCell="B80" sqref="B80"/>
    </sheetView>
  </sheetViews>
  <sheetFormatPr defaultColWidth="8.88671875" defaultRowHeight="14.4" x14ac:dyDescent="0.3"/>
  <cols>
    <col min="1" max="1" width="2.6640625" style="62" customWidth="1"/>
    <col min="2" max="4" width="8.88671875" style="62"/>
    <col min="5" max="5" width="15.6640625" style="62" customWidth="1"/>
    <col min="6" max="6" width="5.44140625" style="51" customWidth="1"/>
    <col min="7" max="7" width="17.88671875" style="62" customWidth="1"/>
    <col min="8" max="8" width="18.5546875" style="62" customWidth="1"/>
    <col min="9" max="9" width="5.44140625" style="51" customWidth="1"/>
    <col min="10" max="10" width="18" style="62" bestFit="1" customWidth="1"/>
    <col min="11" max="11" width="5.33203125" style="51" customWidth="1"/>
    <col min="12" max="12" width="18.44140625" style="62" bestFit="1" customWidth="1"/>
    <col min="13" max="13" width="16.6640625" style="62" bestFit="1" customWidth="1"/>
    <col min="14" max="14" width="13.88671875" style="62" customWidth="1"/>
    <col min="15" max="15" width="15.33203125" style="62" customWidth="1"/>
    <col min="16" max="16384" width="8.88671875" style="62"/>
  </cols>
  <sheetData>
    <row r="1" spans="1:13" ht="18" x14ac:dyDescent="0.35">
      <c r="A1" s="154" t="s">
        <v>269</v>
      </c>
      <c r="G1" s="155"/>
    </row>
    <row r="2" spans="1:13" ht="18" x14ac:dyDescent="0.35">
      <c r="A2" s="154"/>
    </row>
    <row r="3" spans="1:13" x14ac:dyDescent="0.3">
      <c r="A3" s="156" t="s">
        <v>50</v>
      </c>
      <c r="B3" s="156"/>
      <c r="C3" s="156"/>
      <c r="D3" s="156"/>
      <c r="E3" s="156"/>
      <c r="F3" s="157"/>
      <c r="G3" s="156"/>
      <c r="H3" s="156"/>
    </row>
    <row r="4" spans="1:13" x14ac:dyDescent="0.3">
      <c r="L4" s="158" t="s">
        <v>51</v>
      </c>
      <c r="M4" s="158" t="s">
        <v>51</v>
      </c>
    </row>
    <row r="5" spans="1:13" x14ac:dyDescent="0.3">
      <c r="A5" s="159" t="s">
        <v>52</v>
      </c>
      <c r="B5" s="159"/>
      <c r="C5" s="159"/>
      <c r="D5" s="159"/>
      <c r="E5" s="159"/>
      <c r="J5" s="158"/>
      <c r="K5" s="158"/>
      <c r="L5" s="158" t="s">
        <v>53</v>
      </c>
      <c r="M5" s="158" t="s">
        <v>54</v>
      </c>
    </row>
    <row r="6" spans="1:13" ht="15" thickBot="1" x14ac:dyDescent="0.35">
      <c r="J6" s="160" t="s">
        <v>7</v>
      </c>
      <c r="K6" s="160"/>
      <c r="L6" s="246" t="s">
        <v>55</v>
      </c>
      <c r="M6" s="246" t="s">
        <v>55</v>
      </c>
    </row>
    <row r="7" spans="1:13" ht="15" thickBot="1" x14ac:dyDescent="0.35">
      <c r="B7" s="62" t="str">
        <f>+Regular!B7</f>
        <v>Beginning balance collective measures (June 30, 2023):</v>
      </c>
      <c r="J7" s="161">
        <f>'2023 Data'!$L$7</f>
        <v>-76875423</v>
      </c>
    </row>
    <row r="8" spans="1:13" ht="15" thickBot="1" x14ac:dyDescent="0.35">
      <c r="C8" s="62" t="s">
        <v>56</v>
      </c>
      <c r="J8" s="48"/>
      <c r="L8" s="161">
        <f>'2023 Data'!L13</f>
        <v>66699782</v>
      </c>
      <c r="M8" s="161">
        <f>'2023 Data'!L19</f>
        <v>0</v>
      </c>
    </row>
    <row r="9" spans="1:13" ht="15" thickBot="1" x14ac:dyDescent="0.35">
      <c r="C9" s="62" t="s">
        <v>57</v>
      </c>
      <c r="J9" s="48"/>
      <c r="L9" s="161">
        <f>'2023 Data'!L14</f>
        <v>0</v>
      </c>
      <c r="M9" s="161">
        <f>'2023 Data'!L20</f>
        <v>20367598</v>
      </c>
    </row>
    <row r="10" spans="1:13" x14ac:dyDescent="0.3">
      <c r="C10" s="62" t="s">
        <v>58</v>
      </c>
      <c r="J10" s="48"/>
      <c r="L10" s="162">
        <f>'2023 Data'!L15</f>
        <v>184393342</v>
      </c>
      <c r="M10" s="162">
        <f>'2023 Data'!L21</f>
        <v>161154270</v>
      </c>
    </row>
    <row r="11" spans="1:13" ht="15" thickBot="1" x14ac:dyDescent="0.35">
      <c r="C11" s="62" t="s">
        <v>59</v>
      </c>
      <c r="J11" s="48"/>
      <c r="L11" s="82">
        <f>SUM(L8:L10)</f>
        <v>251093124</v>
      </c>
      <c r="M11" s="82">
        <f>SUM(M8:M10)</f>
        <v>181521868</v>
      </c>
    </row>
    <row r="12" spans="1:13" ht="15.6" thickTop="1" thickBot="1" x14ac:dyDescent="0.35">
      <c r="G12" s="163" t="s">
        <v>60</v>
      </c>
      <c r="H12" s="51" t="s">
        <v>61</v>
      </c>
      <c r="J12" s="81"/>
      <c r="K12" s="164"/>
      <c r="L12" s="81"/>
      <c r="M12" s="81"/>
    </row>
    <row r="13" spans="1:13" ht="15" thickBot="1" x14ac:dyDescent="0.35">
      <c r="B13" s="62" t="s">
        <v>62</v>
      </c>
      <c r="G13" s="165">
        <f>'2023 Data'!$L$29</f>
        <v>0</v>
      </c>
      <c r="H13" s="166">
        <f>J7*G13</f>
        <v>0</v>
      </c>
      <c r="J13" s="161">
        <f>'2023 Data'!$V$39</f>
        <v>0</v>
      </c>
      <c r="K13" s="164"/>
    </row>
    <row r="14" spans="1:13" ht="15" thickBot="1" x14ac:dyDescent="0.35">
      <c r="C14" s="62" t="s">
        <v>56</v>
      </c>
      <c r="K14" s="164"/>
      <c r="L14" s="161">
        <f>'2023 Data'!V43</f>
        <v>0</v>
      </c>
      <c r="M14" s="161">
        <f>'2023 Data'!V49</f>
        <v>0</v>
      </c>
    </row>
    <row r="15" spans="1:13" ht="15" thickBot="1" x14ac:dyDescent="0.35">
      <c r="C15" s="62" t="s">
        <v>57</v>
      </c>
      <c r="H15" s="49"/>
      <c r="K15" s="164"/>
      <c r="L15" s="161">
        <f>'2023 Data'!V44</f>
        <v>0</v>
      </c>
      <c r="M15" s="161">
        <f>'2023 Data'!V50</f>
        <v>0</v>
      </c>
    </row>
    <row r="16" spans="1:13" ht="15" thickBot="1" x14ac:dyDescent="0.35">
      <c r="C16" s="62" t="s">
        <v>58</v>
      </c>
      <c r="H16" s="49"/>
      <c r="K16" s="164"/>
      <c r="L16" s="161">
        <f>'2023 Data'!V45</f>
        <v>0</v>
      </c>
      <c r="M16" s="161">
        <f>'2023 Data'!V51</f>
        <v>0</v>
      </c>
    </row>
    <row r="17" spans="1:14" ht="15" thickBot="1" x14ac:dyDescent="0.35">
      <c r="C17" s="62" t="s">
        <v>63</v>
      </c>
      <c r="G17" s="51" t="s">
        <v>64</v>
      </c>
      <c r="H17" s="90"/>
      <c r="J17" s="81"/>
      <c r="K17" s="164"/>
      <c r="L17" s="167">
        <f>SUM(L14:L16)</f>
        <v>0</v>
      </c>
      <c r="M17" s="167">
        <f>SUM(M14:M16)</f>
        <v>0</v>
      </c>
    </row>
    <row r="18" spans="1:14" ht="15.6" thickTop="1" thickBot="1" x14ac:dyDescent="0.35">
      <c r="B18" s="62" t="s">
        <v>65</v>
      </c>
      <c r="G18" s="165">
        <f>'2024 Data'!$L$29</f>
        <v>0</v>
      </c>
      <c r="H18" s="163"/>
      <c r="I18" s="163"/>
      <c r="J18" s="81"/>
      <c r="K18" s="164"/>
    </row>
    <row r="19" spans="1:14" x14ac:dyDescent="0.3">
      <c r="H19" s="168"/>
      <c r="I19" s="169"/>
      <c r="J19" s="81"/>
      <c r="K19" s="164"/>
      <c r="L19" s="81"/>
      <c r="M19" s="81"/>
    </row>
    <row r="20" spans="1:14" x14ac:dyDescent="0.3">
      <c r="A20" s="159" t="s">
        <v>66</v>
      </c>
      <c r="C20" s="159"/>
      <c r="D20" s="159"/>
      <c r="E20" s="159"/>
      <c r="F20" s="158"/>
    </row>
    <row r="21" spans="1:14" x14ac:dyDescent="0.3">
      <c r="B21" s="170" t="s">
        <v>67</v>
      </c>
      <c r="C21" s="170"/>
      <c r="D21" s="170"/>
      <c r="E21" s="170"/>
      <c r="F21" s="249"/>
      <c r="L21" s="81"/>
    </row>
    <row r="22" spans="1:14" ht="15" thickBot="1" x14ac:dyDescent="0.35">
      <c r="B22" s="159"/>
      <c r="C22" s="159"/>
      <c r="D22" s="159"/>
      <c r="E22" s="159"/>
      <c r="F22" s="158"/>
      <c r="H22" s="171"/>
    </row>
    <row r="23" spans="1:14" ht="15" thickBot="1" x14ac:dyDescent="0.35">
      <c r="B23" s="62" t="s">
        <v>68</v>
      </c>
      <c r="G23" s="159"/>
      <c r="H23" s="159"/>
      <c r="I23" s="158"/>
      <c r="L23" s="161">
        <f>'2024 Data'!$L$26</f>
        <v>44711325</v>
      </c>
    </row>
    <row r="24" spans="1:14" x14ac:dyDescent="0.3">
      <c r="G24" s="159"/>
      <c r="H24" s="159"/>
      <c r="I24" s="158"/>
      <c r="N24" s="58"/>
    </row>
    <row r="25" spans="1:14" ht="15" thickBot="1" x14ac:dyDescent="0.35">
      <c r="B25" s="62" t="s">
        <v>69</v>
      </c>
      <c r="G25" s="159"/>
      <c r="H25" s="159"/>
      <c r="I25" s="158"/>
    </row>
    <row r="26" spans="1:14" ht="13.5" customHeight="1" thickBot="1" x14ac:dyDescent="0.35">
      <c r="B26" s="62" t="s">
        <v>70</v>
      </c>
      <c r="D26" s="62" t="s">
        <v>71</v>
      </c>
      <c r="L26" s="161">
        <f>L23*G18</f>
        <v>0</v>
      </c>
    </row>
    <row r="27" spans="1:14" ht="15" thickBot="1" x14ac:dyDescent="0.35"/>
    <row r="28" spans="1:14" ht="15" thickBot="1" x14ac:dyDescent="0.35">
      <c r="B28" s="62" t="s">
        <v>72</v>
      </c>
      <c r="L28" s="161">
        <f>'2024 Data'!$V$24</f>
        <v>0</v>
      </c>
    </row>
    <row r="30" spans="1:14" ht="15" thickBot="1" x14ac:dyDescent="0.35">
      <c r="B30" s="159" t="s">
        <v>73</v>
      </c>
      <c r="C30" s="159"/>
      <c r="D30" s="159"/>
      <c r="E30" s="159"/>
      <c r="F30" s="158"/>
      <c r="G30" s="159"/>
      <c r="L30" s="82">
        <f>L26-L28</f>
        <v>0</v>
      </c>
    </row>
    <row r="31" spans="1:14" ht="15" thickTop="1" x14ac:dyDescent="0.3"/>
    <row r="33" spans="1:15" x14ac:dyDescent="0.3">
      <c r="A33" s="172" t="s">
        <v>74</v>
      </c>
      <c r="J33" s="291" t="s">
        <v>75</v>
      </c>
      <c r="K33" s="291"/>
      <c r="L33" s="291"/>
      <c r="N33" s="170" t="s">
        <v>76</v>
      </c>
      <c r="O33" s="173"/>
    </row>
    <row r="34" spans="1:15" x14ac:dyDescent="0.3">
      <c r="J34" s="255">
        <f>+Regular!J34</f>
        <v>45107</v>
      </c>
      <c r="K34" s="255"/>
      <c r="L34" s="255">
        <f>+Regular!L34</f>
        <v>45473</v>
      </c>
    </row>
    <row r="35" spans="1:15" x14ac:dyDescent="0.3">
      <c r="J35" s="174">
        <f>G13</f>
        <v>0</v>
      </c>
      <c r="K35" s="175"/>
      <c r="L35" s="174">
        <f>G18</f>
        <v>0</v>
      </c>
      <c r="N35" s="51" t="s">
        <v>77</v>
      </c>
      <c r="O35" s="51" t="s">
        <v>78</v>
      </c>
    </row>
    <row r="36" spans="1:15" ht="15" thickBot="1" x14ac:dyDescent="0.35">
      <c r="A36" s="168" t="s">
        <v>79</v>
      </c>
      <c r="J36" s="249" t="s">
        <v>80</v>
      </c>
      <c r="K36" s="249"/>
      <c r="L36" s="249" t="s">
        <v>81</v>
      </c>
      <c r="N36" s="247" t="s">
        <v>82</v>
      </c>
      <c r="O36" s="247" t="s">
        <v>82</v>
      </c>
    </row>
    <row r="37" spans="1:15" ht="15" thickBot="1" x14ac:dyDescent="0.35">
      <c r="B37" s="62" t="s">
        <v>83</v>
      </c>
      <c r="D37" s="176"/>
      <c r="J37" s="81">
        <f>L14</f>
        <v>0</v>
      </c>
      <c r="L37" s="161">
        <f>'2024 Data'!V43</f>
        <v>0</v>
      </c>
      <c r="N37" s="81">
        <f>L37-J37</f>
        <v>0</v>
      </c>
    </row>
    <row r="38" spans="1:15" ht="15" thickBot="1" x14ac:dyDescent="0.35">
      <c r="B38" s="62" t="s">
        <v>84</v>
      </c>
      <c r="J38" s="81">
        <f>L15</f>
        <v>0</v>
      </c>
      <c r="L38" s="161">
        <f>'2024 Data'!V44</f>
        <v>0</v>
      </c>
      <c r="N38" s="81">
        <f>L38-J38</f>
        <v>0</v>
      </c>
      <c r="O38" s="81"/>
    </row>
    <row r="39" spans="1:15" ht="15" thickBot="1" x14ac:dyDescent="0.35">
      <c r="B39" s="62" t="s">
        <v>85</v>
      </c>
      <c r="J39" s="81">
        <f>L16</f>
        <v>0</v>
      </c>
      <c r="L39" s="161">
        <f>'2024 Data'!V45</f>
        <v>0</v>
      </c>
      <c r="N39" s="81">
        <f>L39-J39</f>
        <v>0</v>
      </c>
      <c r="O39" s="81"/>
    </row>
    <row r="40" spans="1:15" ht="15" thickBot="1" x14ac:dyDescent="0.35">
      <c r="A40" s="177" t="s">
        <v>86</v>
      </c>
      <c r="B40" s="168"/>
      <c r="N40" s="81"/>
      <c r="O40" s="81"/>
    </row>
    <row r="41" spans="1:15" ht="15" thickBot="1" x14ac:dyDescent="0.35">
      <c r="B41" s="62" t="s">
        <v>83</v>
      </c>
      <c r="J41" s="81">
        <f>M14</f>
        <v>0</v>
      </c>
      <c r="L41" s="161">
        <f>'2024 Data'!V49</f>
        <v>0</v>
      </c>
      <c r="N41" s="81"/>
      <c r="O41" s="81">
        <f>L41-J41</f>
        <v>0</v>
      </c>
    </row>
    <row r="42" spans="1:15" ht="15" thickBot="1" x14ac:dyDescent="0.35">
      <c r="B42" s="62" t="s">
        <v>84</v>
      </c>
      <c r="J42" s="81">
        <f>M15</f>
        <v>0</v>
      </c>
      <c r="L42" s="161">
        <f>'2024 Data'!V50</f>
        <v>0</v>
      </c>
      <c r="N42" s="81"/>
      <c r="O42" s="81">
        <f>L42-J42</f>
        <v>0</v>
      </c>
    </row>
    <row r="43" spans="1:15" ht="15" thickBot="1" x14ac:dyDescent="0.35">
      <c r="B43" s="62" t="s">
        <v>85</v>
      </c>
      <c r="J43" s="81">
        <f>M16</f>
        <v>0</v>
      </c>
      <c r="L43" s="161">
        <f>'2024 Data'!V51</f>
        <v>0</v>
      </c>
      <c r="N43" s="81"/>
      <c r="O43" s="81">
        <f>L43-J43</f>
        <v>0</v>
      </c>
    </row>
    <row r="44" spans="1:15" ht="15" thickBot="1" x14ac:dyDescent="0.35">
      <c r="N44" s="81"/>
      <c r="O44" s="81"/>
    </row>
    <row r="45" spans="1:15" ht="15" thickBot="1" x14ac:dyDescent="0.35">
      <c r="A45" s="168" t="s">
        <v>7</v>
      </c>
      <c r="J45" s="81">
        <f>J13</f>
        <v>0</v>
      </c>
      <c r="K45" s="164"/>
      <c r="L45" s="161">
        <f>'2024 Data'!$V$39</f>
        <v>0</v>
      </c>
      <c r="O45" s="81">
        <f>(L45-J45)</f>
        <v>0</v>
      </c>
    </row>
    <row r="46" spans="1:15" ht="15" thickBot="1" x14ac:dyDescent="0.35">
      <c r="A46" s="168"/>
      <c r="E46" s="51"/>
      <c r="H46" s="51" t="s">
        <v>87</v>
      </c>
      <c r="N46" s="81"/>
      <c r="O46" s="81"/>
    </row>
    <row r="47" spans="1:15" ht="15" thickBot="1" x14ac:dyDescent="0.35">
      <c r="A47" s="168" t="s">
        <v>88</v>
      </c>
      <c r="E47" s="161">
        <f>'2024 Data'!$L$10</f>
        <v>25460714</v>
      </c>
      <c r="G47" s="62" t="s">
        <v>89</v>
      </c>
      <c r="H47" s="161">
        <f>'2024 Data'!$L$54</f>
        <v>0</v>
      </c>
      <c r="J47" s="174">
        <f>G18</f>
        <v>0</v>
      </c>
      <c r="K47" s="178"/>
      <c r="L47" s="179">
        <f>ROUND(E47*J47,0)</f>
        <v>0</v>
      </c>
      <c r="N47" s="81"/>
      <c r="O47" s="81"/>
    </row>
    <row r="48" spans="1:15" x14ac:dyDescent="0.3">
      <c r="A48" s="168"/>
      <c r="E48" s="51" t="s">
        <v>90</v>
      </c>
      <c r="H48" s="51"/>
      <c r="J48" s="174" t="s">
        <v>91</v>
      </c>
      <c r="L48" s="51" t="s">
        <v>61</v>
      </c>
      <c r="M48" s="180"/>
    </row>
    <row r="49" spans="1:15" x14ac:dyDescent="0.3">
      <c r="A49" s="168"/>
      <c r="E49" s="51"/>
      <c r="H49" s="51"/>
      <c r="J49" s="174"/>
      <c r="L49" s="51"/>
      <c r="M49" s="180"/>
    </row>
    <row r="50" spans="1:15" x14ac:dyDescent="0.3">
      <c r="A50" s="168"/>
      <c r="E50" s="51"/>
      <c r="H50" s="51"/>
      <c r="J50" s="174"/>
      <c r="L50" s="51"/>
      <c r="M50" s="180"/>
    </row>
    <row r="51" spans="1:15" x14ac:dyDescent="0.3">
      <c r="A51" s="168"/>
      <c r="E51" s="51"/>
      <c r="H51" s="51"/>
      <c r="J51" s="174"/>
      <c r="L51" s="51"/>
      <c r="M51" s="180"/>
    </row>
    <row r="54" spans="1:15" x14ac:dyDescent="0.3">
      <c r="A54" s="181" t="s">
        <v>92</v>
      </c>
    </row>
    <row r="55" spans="1:15" x14ac:dyDescent="0.3">
      <c r="B55" s="62" t="s">
        <v>93</v>
      </c>
    </row>
    <row r="56" spans="1:15" x14ac:dyDescent="0.3">
      <c r="J56" s="291" t="s">
        <v>75</v>
      </c>
      <c r="K56" s="291"/>
      <c r="L56" s="291"/>
      <c r="N56" s="170" t="s">
        <v>76</v>
      </c>
      <c r="O56" s="173"/>
    </row>
    <row r="57" spans="1:15" x14ac:dyDescent="0.3">
      <c r="H57" s="99" t="s">
        <v>286</v>
      </c>
      <c r="I57" s="110"/>
      <c r="J57" s="251">
        <f>+J34</f>
        <v>45107</v>
      </c>
      <c r="K57" s="251"/>
      <c r="L57" s="251">
        <f>+L34</f>
        <v>45473</v>
      </c>
    </row>
    <row r="58" spans="1:15" x14ac:dyDescent="0.3">
      <c r="H58" s="100" t="s">
        <v>285</v>
      </c>
      <c r="I58" s="110"/>
      <c r="J58" s="127">
        <f>G13</f>
        <v>0</v>
      </c>
      <c r="K58" s="128"/>
      <c r="L58" s="127">
        <f>L35</f>
        <v>0</v>
      </c>
      <c r="N58" s="51" t="s">
        <v>77</v>
      </c>
      <c r="O58" s="51" t="s">
        <v>78</v>
      </c>
    </row>
    <row r="59" spans="1:15" x14ac:dyDescent="0.3">
      <c r="H59" s="277">
        <f>+J34</f>
        <v>45107</v>
      </c>
      <c r="I59" s="110"/>
      <c r="J59" s="275" t="s">
        <v>80</v>
      </c>
      <c r="K59" s="275"/>
      <c r="L59" s="275" t="s">
        <v>81</v>
      </c>
      <c r="N59" s="247" t="s">
        <v>82</v>
      </c>
      <c r="O59" s="247" t="s">
        <v>82</v>
      </c>
    </row>
    <row r="61" spans="1:15" x14ac:dyDescent="0.3">
      <c r="B61" s="62" t="s">
        <v>46</v>
      </c>
      <c r="H61" s="81">
        <f>+L11</f>
        <v>251093124</v>
      </c>
      <c r="J61" s="180">
        <f>ROUND(H61*J58,0)</f>
        <v>0</v>
      </c>
      <c r="K61" s="183"/>
      <c r="L61" s="180">
        <f>ROUND(H61*L58,0)</f>
        <v>0</v>
      </c>
      <c r="N61" s="180">
        <f>L61-J61</f>
        <v>0</v>
      </c>
      <c r="O61" s="180"/>
    </row>
    <row r="62" spans="1:15" x14ac:dyDescent="0.3">
      <c r="H62" s="81"/>
      <c r="J62" s="180"/>
      <c r="K62" s="183"/>
      <c r="L62" s="180"/>
      <c r="N62" s="79"/>
    </row>
    <row r="63" spans="1:15" x14ac:dyDescent="0.3">
      <c r="B63" s="62" t="s">
        <v>94</v>
      </c>
      <c r="H63" s="81">
        <f>M11</f>
        <v>181521868</v>
      </c>
      <c r="J63" s="180">
        <f>ROUND(H63*J58,0)</f>
        <v>0</v>
      </c>
      <c r="K63" s="183"/>
      <c r="L63" s="180">
        <f>ROUND(H63*L58,0)</f>
        <v>0</v>
      </c>
      <c r="O63" s="180">
        <f>L63-J63</f>
        <v>0</v>
      </c>
    </row>
    <row r="64" spans="1:15" x14ac:dyDescent="0.3">
      <c r="J64" s="180"/>
      <c r="K64" s="183"/>
      <c r="L64" s="180"/>
      <c r="N64" s="79"/>
    </row>
    <row r="65" spans="1:15" x14ac:dyDescent="0.3">
      <c r="B65" s="62" t="s">
        <v>7</v>
      </c>
      <c r="H65" s="180">
        <f>J7</f>
        <v>-76875423</v>
      </c>
      <c r="J65" s="180">
        <f>ROUND(H65*J58,0)</f>
        <v>0</v>
      </c>
      <c r="K65" s="183"/>
      <c r="L65" s="180">
        <f>ROUND(H65*L58,0)</f>
        <v>0</v>
      </c>
      <c r="N65" s="64"/>
      <c r="O65" s="64">
        <f>(L65-J65)</f>
        <v>0</v>
      </c>
    </row>
    <row r="67" spans="1:15" x14ac:dyDescent="0.3">
      <c r="C67" s="62" t="s">
        <v>95</v>
      </c>
      <c r="N67" s="48">
        <f>SUM(N61:N65)</f>
        <v>0</v>
      </c>
      <c r="O67" s="48">
        <f>SUM(O61:O65)</f>
        <v>0</v>
      </c>
    </row>
    <row r="69" spans="1:15" x14ac:dyDescent="0.3">
      <c r="C69" s="62" t="s">
        <v>96</v>
      </c>
      <c r="H69" s="159"/>
      <c r="N69" s="81"/>
      <c r="O69" s="180">
        <f>+N67-O67</f>
        <v>0</v>
      </c>
    </row>
    <row r="70" spans="1:15" x14ac:dyDescent="0.3">
      <c r="C70" s="62" t="s">
        <v>97</v>
      </c>
      <c r="N70" s="184"/>
      <c r="O70" s="184"/>
    </row>
    <row r="71" spans="1:15" x14ac:dyDescent="0.3">
      <c r="N71" s="81"/>
      <c r="O71" s="81"/>
    </row>
    <row r="72" spans="1:15" ht="15" thickBot="1" x14ac:dyDescent="0.35">
      <c r="C72" s="159" t="s">
        <v>98</v>
      </c>
      <c r="D72" s="159"/>
      <c r="E72" s="159"/>
      <c r="F72" s="158"/>
      <c r="G72" s="159"/>
      <c r="N72" s="179">
        <f>N67+N69</f>
        <v>0</v>
      </c>
      <c r="O72" s="179">
        <f>O67+O69</f>
        <v>0</v>
      </c>
    </row>
    <row r="73" spans="1:15" ht="15" thickTop="1" x14ac:dyDescent="0.3">
      <c r="J73" s="99" t="s">
        <v>267</v>
      </c>
    </row>
    <row r="74" spans="1:15" x14ac:dyDescent="0.3">
      <c r="J74" s="99" t="s">
        <v>268</v>
      </c>
      <c r="K74" s="158"/>
    </row>
    <row r="75" spans="1:15" x14ac:dyDescent="0.3">
      <c r="A75" s="181" t="s">
        <v>99</v>
      </c>
      <c r="J75" s="254">
        <f>+L34</f>
        <v>45473</v>
      </c>
      <c r="K75" s="158"/>
      <c r="L75" s="158" t="s">
        <v>100</v>
      </c>
    </row>
    <row r="76" spans="1:15" x14ac:dyDescent="0.3">
      <c r="B76" s="62" t="s">
        <v>101</v>
      </c>
      <c r="J76" s="174">
        <f>L35</f>
        <v>0</v>
      </c>
      <c r="K76" s="185"/>
      <c r="L76" s="158" t="s">
        <v>102</v>
      </c>
      <c r="N76" s="158" t="s">
        <v>25</v>
      </c>
    </row>
    <row r="77" spans="1:15" ht="15" thickBot="1" x14ac:dyDescent="0.35">
      <c r="H77" s="170" t="s">
        <v>103</v>
      </c>
      <c r="J77" s="246" t="s">
        <v>80</v>
      </c>
      <c r="K77" s="246"/>
      <c r="L77" s="246" t="s">
        <v>81</v>
      </c>
      <c r="N77" s="246" t="s">
        <v>82</v>
      </c>
    </row>
    <row r="78" spans="1:15" ht="15" thickBot="1" x14ac:dyDescent="0.35">
      <c r="B78" s="62" t="s">
        <v>104</v>
      </c>
      <c r="H78" s="213">
        <v>44748260</v>
      </c>
      <c r="J78" s="180">
        <f>H78*J76</f>
        <v>0</v>
      </c>
      <c r="K78" s="183"/>
      <c r="L78" s="81">
        <f>+L28</f>
        <v>0</v>
      </c>
      <c r="N78" s="180">
        <f>ROUND(L78-J78,0)</f>
        <v>0</v>
      </c>
    </row>
    <row r="79" spans="1:15" x14ac:dyDescent="0.3">
      <c r="B79" s="62" t="str">
        <f>+Regular!B79</f>
        <v xml:space="preserve"> ( Per page 30 of IPERS June 30, 2024 GASB 68 Actuary Report)</v>
      </c>
    </row>
    <row r="80" spans="1:15" x14ac:dyDescent="0.3">
      <c r="B80" s="69" t="s">
        <v>302</v>
      </c>
    </row>
    <row r="81" spans="1:12" x14ac:dyDescent="0.3">
      <c r="B81" s="69" t="s">
        <v>303</v>
      </c>
    </row>
    <row r="82" spans="1:12" x14ac:dyDescent="0.3">
      <c r="A82" s="159" t="s">
        <v>105</v>
      </c>
      <c r="B82" s="159"/>
      <c r="C82" s="159"/>
      <c r="D82" s="159"/>
      <c r="E82" s="159"/>
      <c r="F82" s="158"/>
      <c r="G82" s="159"/>
      <c r="H82" s="158" t="s">
        <v>79</v>
      </c>
      <c r="J82" s="158" t="s">
        <v>106</v>
      </c>
      <c r="K82" s="158"/>
      <c r="L82" s="158" t="s">
        <v>107</v>
      </c>
    </row>
    <row r="83" spans="1:12" x14ac:dyDescent="0.3">
      <c r="A83" s="182" t="s">
        <v>108</v>
      </c>
      <c r="B83" s="172" t="s">
        <v>109</v>
      </c>
      <c r="C83" s="182"/>
      <c r="D83" s="182"/>
      <c r="E83" s="182"/>
      <c r="F83" s="160"/>
      <c r="G83" s="182"/>
      <c r="H83" s="246" t="s">
        <v>110</v>
      </c>
      <c r="J83" s="246" t="s">
        <v>111</v>
      </c>
      <c r="K83" s="246"/>
      <c r="L83" s="246" t="s">
        <v>112</v>
      </c>
    </row>
    <row r="84" spans="1:12" x14ac:dyDescent="0.3">
      <c r="C84" s="62" t="s">
        <v>113</v>
      </c>
    </row>
    <row r="85" spans="1:12" x14ac:dyDescent="0.3">
      <c r="I85" s="158"/>
    </row>
    <row r="86" spans="1:12" x14ac:dyDescent="0.3">
      <c r="B86" s="62" t="s">
        <v>114</v>
      </c>
      <c r="H86" s="59">
        <f>J86-L86</f>
        <v>0</v>
      </c>
      <c r="I86" s="186"/>
      <c r="J86" s="59">
        <f>-O69</f>
        <v>0</v>
      </c>
      <c r="K86" s="187"/>
      <c r="L86" s="59">
        <f>-ROUND(O69/H94,0)</f>
        <v>0</v>
      </c>
    </row>
    <row r="87" spans="1:12" x14ac:dyDescent="0.3">
      <c r="H87" s="59"/>
      <c r="I87" s="188"/>
      <c r="J87" s="59"/>
      <c r="K87" s="187"/>
      <c r="L87" s="189"/>
    </row>
    <row r="88" spans="1:12" x14ac:dyDescent="0.3">
      <c r="B88" s="62" t="s">
        <v>115</v>
      </c>
      <c r="H88" s="64">
        <f>+N78-L88</f>
        <v>0</v>
      </c>
      <c r="I88" s="188"/>
      <c r="J88" s="64">
        <f>N78</f>
        <v>0</v>
      </c>
      <c r="K88" s="190"/>
      <c r="L88" s="64">
        <f>ROUND(+N78/H94,0)</f>
        <v>0</v>
      </c>
    </row>
    <row r="89" spans="1:12" x14ac:dyDescent="0.3">
      <c r="H89" s="59"/>
      <c r="I89" s="187"/>
      <c r="J89" s="59"/>
      <c r="K89" s="187"/>
    </row>
    <row r="90" spans="1:12" ht="15" thickBot="1" x14ac:dyDescent="0.35">
      <c r="C90" s="159" t="s">
        <v>116</v>
      </c>
      <c r="H90" s="191">
        <f>H86+H88</f>
        <v>0</v>
      </c>
      <c r="I90" s="187"/>
      <c r="J90" s="191">
        <f>J86+J88</f>
        <v>0</v>
      </c>
      <c r="K90" s="192"/>
      <c r="L90" s="191">
        <f>L86+L88</f>
        <v>0</v>
      </c>
    </row>
    <row r="91" spans="1:12" ht="15" thickTop="1" x14ac:dyDescent="0.3">
      <c r="H91" s="193"/>
      <c r="I91" s="194"/>
      <c r="J91" s="193"/>
      <c r="K91" s="195"/>
      <c r="L91" s="193"/>
    </row>
    <row r="92" spans="1:12" x14ac:dyDescent="0.3">
      <c r="H92" s="90" t="s">
        <v>117</v>
      </c>
      <c r="I92" s="158"/>
      <c r="L92" s="90" t="s">
        <v>118</v>
      </c>
    </row>
    <row r="93" spans="1:12" x14ac:dyDescent="0.3">
      <c r="H93" s="193"/>
      <c r="I93" s="195"/>
      <c r="J93" s="193"/>
      <c r="K93" s="195"/>
      <c r="L93" s="193"/>
    </row>
    <row r="94" spans="1:12" x14ac:dyDescent="0.3">
      <c r="B94" s="62" t="s">
        <v>119</v>
      </c>
      <c r="H94" s="253">
        <f>'2024 Data'!$E$57</f>
        <v>5.36</v>
      </c>
      <c r="I94" s="163"/>
      <c r="J94" s="193" t="s">
        <v>42</v>
      </c>
      <c r="K94" s="195"/>
    </row>
    <row r="95" spans="1:12" x14ac:dyDescent="0.3">
      <c r="H95" s="195"/>
      <c r="J95" s="193"/>
      <c r="K95" s="195"/>
      <c r="L95" s="193"/>
    </row>
    <row r="96" spans="1:12" x14ac:dyDescent="0.3">
      <c r="I96" s="163"/>
      <c r="J96" s="193"/>
      <c r="K96" s="195"/>
      <c r="L96" s="193"/>
    </row>
    <row r="97" spans="1:12" x14ac:dyDescent="0.3">
      <c r="I97" s="163"/>
      <c r="J97" s="193"/>
      <c r="K97" s="195"/>
      <c r="L97" s="193"/>
    </row>
    <row r="98" spans="1:12" x14ac:dyDescent="0.3">
      <c r="I98" s="163"/>
      <c r="J98" s="193"/>
      <c r="K98" s="195"/>
      <c r="L98" s="193"/>
    </row>
    <row r="99" spans="1:12" x14ac:dyDescent="0.3">
      <c r="I99" s="163"/>
      <c r="J99" s="193"/>
      <c r="K99" s="195"/>
      <c r="L99" s="193"/>
    </row>
    <row r="100" spans="1:12" x14ac:dyDescent="0.3">
      <c r="I100" s="163"/>
      <c r="J100" s="193"/>
      <c r="K100" s="195"/>
      <c r="L100" s="193"/>
    </row>
    <row r="101" spans="1:12" x14ac:dyDescent="0.3">
      <c r="I101" s="163"/>
      <c r="J101" s="193"/>
      <c r="K101" s="195"/>
      <c r="L101" s="193"/>
    </row>
    <row r="102" spans="1:12" x14ac:dyDescent="0.3">
      <c r="I102" s="163"/>
      <c r="J102" s="193"/>
      <c r="K102" s="195"/>
      <c r="L102" s="193"/>
    </row>
    <row r="103" spans="1:12" x14ac:dyDescent="0.3">
      <c r="I103" s="163"/>
      <c r="J103" s="193"/>
      <c r="K103" s="195"/>
      <c r="L103" s="193"/>
    </row>
    <row r="104" spans="1:12" x14ac:dyDescent="0.3">
      <c r="I104" s="163"/>
      <c r="J104" s="193"/>
      <c r="K104" s="195"/>
      <c r="L104" s="193"/>
    </row>
    <row r="105" spans="1:12" x14ac:dyDescent="0.3">
      <c r="I105" s="163"/>
      <c r="J105" s="193"/>
      <c r="K105" s="195"/>
      <c r="L105" s="193"/>
    </row>
    <row r="106" spans="1:12" x14ac:dyDescent="0.3">
      <c r="I106" s="163"/>
      <c r="J106" s="193"/>
      <c r="K106" s="195"/>
      <c r="L106" s="193"/>
    </row>
    <row r="107" spans="1:12" x14ac:dyDescent="0.3">
      <c r="I107" s="163"/>
      <c r="J107" s="193"/>
      <c r="K107" s="195"/>
      <c r="L107" s="193"/>
    </row>
    <row r="108" spans="1:12" x14ac:dyDescent="0.3">
      <c r="I108" s="163"/>
      <c r="J108" s="193"/>
      <c r="K108" s="195"/>
      <c r="L108" s="193"/>
    </row>
    <row r="109" spans="1:12" x14ac:dyDescent="0.3">
      <c r="I109" s="163"/>
      <c r="J109" s="193"/>
      <c r="K109" s="195"/>
      <c r="L109" s="193"/>
    </row>
    <row r="110" spans="1:12" x14ac:dyDescent="0.3">
      <c r="I110" s="163"/>
      <c r="J110" s="193"/>
      <c r="K110" s="195"/>
      <c r="L110" s="193"/>
    </row>
    <row r="111" spans="1:12" s="181" customFormat="1" x14ac:dyDescent="0.3">
      <c r="A111" s="93" t="str">
        <f>+Regular!A111</f>
        <v>Journal Entries for Entity's Year Ended June 30, 2025 (June 30, 2024 measurement date)</v>
      </c>
      <c r="F111" s="194"/>
      <c r="I111" s="194"/>
      <c r="K111" s="194"/>
    </row>
    <row r="112" spans="1:12" ht="15" thickBot="1" x14ac:dyDescent="0.35">
      <c r="H112" s="196" t="s">
        <v>120</v>
      </c>
      <c r="I112" s="158"/>
      <c r="J112" s="196" t="s">
        <v>121</v>
      </c>
      <c r="K112" s="197"/>
    </row>
    <row r="113" spans="1:15" ht="15" thickTop="1" x14ac:dyDescent="0.3">
      <c r="A113" s="62" t="s">
        <v>79</v>
      </c>
      <c r="H113" s="197"/>
      <c r="I113" s="158"/>
      <c r="J113" s="197"/>
      <c r="K113" s="197"/>
      <c r="M113" s="193"/>
      <c r="N113" s="193"/>
      <c r="O113" s="193"/>
    </row>
    <row r="114" spans="1:15" x14ac:dyDescent="0.3">
      <c r="B114" s="62" t="s">
        <v>122</v>
      </c>
      <c r="H114" s="81">
        <f>+N37</f>
        <v>0</v>
      </c>
      <c r="I114" s="164"/>
      <c r="J114" s="58">
        <v>0</v>
      </c>
      <c r="K114" s="198"/>
      <c r="M114" s="193"/>
      <c r="N114" s="193"/>
      <c r="O114" s="193"/>
    </row>
    <row r="115" spans="1:15" x14ac:dyDescent="0.3">
      <c r="B115" s="62" t="s">
        <v>123</v>
      </c>
      <c r="H115" s="189">
        <f>+N38</f>
        <v>0</v>
      </c>
      <c r="I115" s="164"/>
      <c r="J115" s="58"/>
      <c r="K115" s="198"/>
      <c r="M115" s="193"/>
      <c r="N115" s="193"/>
      <c r="O115" s="193"/>
    </row>
    <row r="116" spans="1:15" x14ac:dyDescent="0.3">
      <c r="B116" s="62" t="s">
        <v>124</v>
      </c>
      <c r="H116" s="59">
        <f>N39</f>
        <v>0</v>
      </c>
      <c r="I116" s="187"/>
      <c r="J116" s="59"/>
      <c r="K116" s="198"/>
      <c r="L116" s="62" t="s">
        <v>125</v>
      </c>
      <c r="M116" s="193"/>
      <c r="N116" s="193"/>
      <c r="O116" s="193"/>
    </row>
    <row r="117" spans="1:15" x14ac:dyDescent="0.3">
      <c r="B117" s="62" t="s">
        <v>126</v>
      </c>
      <c r="H117" s="59">
        <f>IF(H90&lt;0,0,H90)</f>
        <v>0</v>
      </c>
      <c r="I117" s="187"/>
      <c r="K117" s="188"/>
      <c r="M117" s="193"/>
      <c r="N117" s="193"/>
      <c r="O117" s="193"/>
    </row>
    <row r="118" spans="1:15" x14ac:dyDescent="0.3">
      <c r="A118" s="62" t="s">
        <v>45</v>
      </c>
      <c r="H118" s="59"/>
      <c r="I118" s="187"/>
      <c r="J118" s="59"/>
      <c r="M118" s="193"/>
      <c r="N118" s="193"/>
      <c r="O118" s="193"/>
    </row>
    <row r="119" spans="1:15" x14ac:dyDescent="0.3">
      <c r="B119" s="62" t="s">
        <v>45</v>
      </c>
      <c r="H119" s="59">
        <f>L47</f>
        <v>0</v>
      </c>
      <c r="I119" s="187"/>
      <c r="J119" s="59"/>
      <c r="K119" s="187"/>
      <c r="M119" s="193"/>
      <c r="N119" s="193"/>
      <c r="O119" s="193"/>
    </row>
    <row r="120" spans="1:15" ht="15" thickBot="1" x14ac:dyDescent="0.35">
      <c r="B120" s="62" t="s">
        <v>127</v>
      </c>
      <c r="H120" s="59">
        <f>L90</f>
        <v>0</v>
      </c>
      <c r="I120" s="187"/>
      <c r="J120" s="59"/>
      <c r="K120" s="187"/>
      <c r="M120" s="193"/>
      <c r="N120" s="193"/>
      <c r="O120" s="193"/>
    </row>
    <row r="121" spans="1:15" ht="15" thickBot="1" x14ac:dyDescent="0.35">
      <c r="B121" s="62" t="s">
        <v>128</v>
      </c>
      <c r="H121" s="213">
        <v>0</v>
      </c>
      <c r="I121" s="187"/>
      <c r="J121" s="59"/>
      <c r="K121" s="187"/>
      <c r="M121" s="193"/>
      <c r="N121" s="193"/>
      <c r="O121" s="193"/>
    </row>
    <row r="122" spans="1:15" x14ac:dyDescent="0.3">
      <c r="A122" s="62" t="s">
        <v>86</v>
      </c>
      <c r="H122" s="59"/>
      <c r="I122" s="187"/>
      <c r="J122" s="59"/>
      <c r="K122" s="187"/>
      <c r="M122" s="193"/>
      <c r="N122" s="193"/>
      <c r="O122" s="193"/>
    </row>
    <row r="123" spans="1:15" x14ac:dyDescent="0.3">
      <c r="B123" s="62" t="s">
        <v>129</v>
      </c>
      <c r="H123" s="59">
        <f>-O41</f>
        <v>0</v>
      </c>
      <c r="I123" s="187"/>
      <c r="J123" s="59"/>
      <c r="K123" s="187"/>
      <c r="M123" s="193"/>
      <c r="N123" s="193"/>
      <c r="O123" s="193"/>
    </row>
    <row r="124" spans="1:15" x14ac:dyDescent="0.3">
      <c r="B124" s="62" t="s">
        <v>130</v>
      </c>
      <c r="H124" s="59">
        <f>-O42</f>
        <v>0</v>
      </c>
      <c r="I124" s="187"/>
      <c r="J124" s="59"/>
      <c r="K124" s="187"/>
      <c r="M124" s="193"/>
      <c r="N124" s="193"/>
      <c r="O124" s="193"/>
    </row>
    <row r="125" spans="1:15" x14ac:dyDescent="0.3">
      <c r="B125" s="62" t="s">
        <v>131</v>
      </c>
      <c r="H125" s="59">
        <f>-O43</f>
        <v>0</v>
      </c>
      <c r="I125" s="187"/>
      <c r="J125" s="59"/>
      <c r="K125" s="187"/>
      <c r="L125" s="62" t="s">
        <v>125</v>
      </c>
      <c r="M125" s="193"/>
      <c r="N125" s="193"/>
      <c r="O125" s="193"/>
    </row>
    <row r="126" spans="1:15" x14ac:dyDescent="0.3">
      <c r="B126" s="62" t="s">
        <v>132</v>
      </c>
      <c r="H126" s="59"/>
      <c r="I126" s="187"/>
      <c r="J126" s="59">
        <f>IF(H90&lt;0,-H90,0)</f>
        <v>0</v>
      </c>
      <c r="K126" s="187"/>
    </row>
    <row r="127" spans="1:15" x14ac:dyDescent="0.3">
      <c r="A127" s="62" t="s">
        <v>133</v>
      </c>
      <c r="H127" s="59"/>
      <c r="I127" s="187"/>
      <c r="J127" s="59"/>
      <c r="K127" s="187"/>
    </row>
    <row r="128" spans="1:15" x14ac:dyDescent="0.3">
      <c r="B128" s="62" t="str">
        <f>+Regular!B128</f>
        <v xml:space="preserve"> - Entity contributions from 7/01/2023 through 6/30/2024</v>
      </c>
      <c r="H128" s="59"/>
      <c r="I128" s="187"/>
      <c r="J128" s="59">
        <f>L28</f>
        <v>0</v>
      </c>
      <c r="K128" s="187"/>
      <c r="L128" s="69" t="s">
        <v>172</v>
      </c>
    </row>
    <row r="129" spans="1:16" x14ac:dyDescent="0.3">
      <c r="A129" s="62" t="s">
        <v>7</v>
      </c>
      <c r="H129" s="59"/>
      <c r="I129" s="187"/>
      <c r="J129" s="59">
        <f>O45</f>
        <v>0</v>
      </c>
      <c r="K129" s="187"/>
    </row>
    <row r="130" spans="1:16" ht="28.5" customHeight="1" x14ac:dyDescent="0.3">
      <c r="A130" s="288" t="s">
        <v>136</v>
      </c>
      <c r="B130" s="288"/>
      <c r="C130" s="288"/>
      <c r="D130" s="288"/>
      <c r="E130" s="288"/>
      <c r="F130" s="288"/>
      <c r="G130" s="289"/>
      <c r="H130" s="214">
        <f>-'Pro Occ Amort'!O34</f>
        <v>0</v>
      </c>
      <c r="I130" s="68"/>
      <c r="J130" s="214">
        <f>+'Pro Occ Amort'!O20</f>
        <v>0</v>
      </c>
      <c r="K130" s="187"/>
      <c r="L130" s="287" t="s">
        <v>173</v>
      </c>
      <c r="M130" s="287"/>
      <c r="N130" s="287"/>
      <c r="O130" s="287"/>
      <c r="P130" s="287"/>
    </row>
    <row r="131" spans="1:16" x14ac:dyDescent="0.3">
      <c r="A131" s="69"/>
      <c r="B131" s="69" t="s">
        <v>138</v>
      </c>
      <c r="H131" s="214">
        <f>+J130</f>
        <v>0</v>
      </c>
      <c r="I131" s="68"/>
      <c r="J131" s="214">
        <f>+H130</f>
        <v>0</v>
      </c>
      <c r="K131" s="187"/>
      <c r="L131" s="287"/>
      <c r="M131" s="287"/>
      <c r="N131" s="287"/>
      <c r="O131" s="287"/>
      <c r="P131" s="287"/>
    </row>
    <row r="132" spans="1:16" x14ac:dyDescent="0.3">
      <c r="H132" s="59"/>
      <c r="I132" s="187"/>
      <c r="J132" s="59"/>
      <c r="K132" s="187"/>
      <c r="L132" s="287"/>
      <c r="M132" s="287"/>
      <c r="N132" s="287"/>
      <c r="O132" s="287"/>
      <c r="P132" s="287"/>
    </row>
    <row r="133" spans="1:16" ht="15" thickBot="1" x14ac:dyDescent="0.35">
      <c r="E133" s="62" t="s">
        <v>13</v>
      </c>
      <c r="H133" s="199">
        <f>SUM(H114:H132)</f>
        <v>0</v>
      </c>
      <c r="I133" s="200"/>
      <c r="J133" s="199">
        <f>SUM(J114:J132)</f>
        <v>0</v>
      </c>
      <c r="K133" s="201"/>
      <c r="L133" s="287"/>
      <c r="M133" s="287"/>
      <c r="N133" s="287"/>
      <c r="O133" s="287"/>
      <c r="P133" s="287"/>
    </row>
    <row r="134" spans="1:16" ht="15" thickTop="1" x14ac:dyDescent="0.3"/>
    <row r="135" spans="1:16" ht="15" thickBot="1" x14ac:dyDescent="0.35">
      <c r="G135" s="62" t="s">
        <v>139</v>
      </c>
      <c r="J135" s="65">
        <f>H133-J133</f>
        <v>0</v>
      </c>
      <c r="K135" s="201"/>
    </row>
    <row r="136" spans="1:16" ht="15" thickTop="1" x14ac:dyDescent="0.3">
      <c r="B136" s="69" t="str">
        <f>+Regular!B136</f>
        <v>To record pension accrual amounts for the year ended June 30, 2025</v>
      </c>
    </row>
    <row r="137" spans="1:16" x14ac:dyDescent="0.3">
      <c r="B137" s="69" t="str">
        <f>+Regular!B137</f>
        <v>based on the June 30, 2024 measurement date.</v>
      </c>
    </row>
    <row r="139" spans="1:16" x14ac:dyDescent="0.3">
      <c r="A139" s="181"/>
    </row>
    <row r="140" spans="1:16" x14ac:dyDescent="0.3">
      <c r="J140" s="90"/>
    </row>
    <row r="141" spans="1:16" x14ac:dyDescent="0.3">
      <c r="H141" s="51"/>
      <c r="J141" s="51"/>
      <c r="K141" s="187"/>
    </row>
    <row r="142" spans="1:16" x14ac:dyDescent="0.3">
      <c r="C142" s="23"/>
      <c r="H142" s="51"/>
      <c r="J142" s="51"/>
      <c r="K142" s="62"/>
    </row>
    <row r="143" spans="1:16" x14ac:dyDescent="0.3">
      <c r="C143" s="23"/>
      <c r="H143" s="51"/>
      <c r="J143" s="51"/>
      <c r="K143" s="62"/>
    </row>
    <row r="144" spans="1:16" x14ac:dyDescent="0.3">
      <c r="C144" s="23"/>
      <c r="H144" s="51"/>
      <c r="J144" s="51"/>
      <c r="K144" s="62"/>
    </row>
    <row r="145" spans="1:11" x14ac:dyDescent="0.3">
      <c r="C145" s="23"/>
      <c r="H145" s="51"/>
      <c r="J145" s="51"/>
      <c r="K145" s="62"/>
    </row>
    <row r="146" spans="1:11" x14ac:dyDescent="0.3">
      <c r="C146" s="23"/>
      <c r="H146" s="51"/>
      <c r="J146" s="51"/>
      <c r="K146" s="62"/>
    </row>
    <row r="147" spans="1:11" x14ac:dyDescent="0.3">
      <c r="C147" s="23"/>
      <c r="H147" s="51"/>
      <c r="J147" s="51"/>
      <c r="K147" s="62"/>
    </row>
    <row r="148" spans="1:11" x14ac:dyDescent="0.3">
      <c r="C148" s="23"/>
      <c r="H148" s="51"/>
      <c r="J148" s="51"/>
      <c r="K148" s="62"/>
    </row>
    <row r="149" spans="1:11" x14ac:dyDescent="0.3">
      <c r="C149" s="23"/>
      <c r="H149" s="51"/>
      <c r="J149" s="51"/>
    </row>
    <row r="150" spans="1:11" x14ac:dyDescent="0.3">
      <c r="H150" s="51"/>
      <c r="J150" s="51"/>
    </row>
    <row r="151" spans="1:11" x14ac:dyDescent="0.3">
      <c r="H151" s="51"/>
      <c r="J151" s="51"/>
    </row>
    <row r="152" spans="1:11" x14ac:dyDescent="0.3">
      <c r="H152" s="51"/>
      <c r="J152" s="51"/>
    </row>
    <row r="153" spans="1:11" x14ac:dyDescent="0.3">
      <c r="A153" s="181"/>
      <c r="H153" s="51"/>
      <c r="J153" s="51"/>
    </row>
    <row r="154" spans="1:11" x14ac:dyDescent="0.3">
      <c r="H154" s="81"/>
      <c r="I154" s="187"/>
      <c r="J154" s="59"/>
      <c r="K154" s="187"/>
    </row>
    <row r="155" spans="1:11" x14ac:dyDescent="0.3">
      <c r="H155" s="81"/>
      <c r="I155" s="187"/>
      <c r="J155" s="59"/>
      <c r="K155" s="187"/>
    </row>
    <row r="156" spans="1:11" x14ac:dyDescent="0.3">
      <c r="H156" s="59"/>
      <c r="I156" s="187"/>
      <c r="J156" s="81"/>
      <c r="K156" s="187"/>
    </row>
    <row r="157" spans="1:11" x14ac:dyDescent="0.3">
      <c r="H157" s="59"/>
      <c r="I157" s="187"/>
      <c r="K157" s="187"/>
    </row>
    <row r="158" spans="1:11" x14ac:dyDescent="0.3">
      <c r="H158" s="59"/>
      <c r="I158" s="187"/>
      <c r="J158" s="81"/>
    </row>
    <row r="159" spans="1:11" x14ac:dyDescent="0.3">
      <c r="I159" s="187"/>
    </row>
    <row r="160" spans="1:11" x14ac:dyDescent="0.3">
      <c r="I160" s="187"/>
    </row>
  </sheetData>
  <mergeCells count="4">
    <mergeCell ref="J33:L33"/>
    <mergeCell ref="J56:L56"/>
    <mergeCell ref="A130:G130"/>
    <mergeCell ref="L130:P133"/>
  </mergeCells>
  <pageMargins left="0.7" right="0.7" top="0.75" bottom="0.75" header="0.3" footer="0.3"/>
  <pageSetup scale="64" fitToHeight="0" orientation="landscape" r:id="rId1"/>
  <rowBreaks count="1" manualBreakCount="1">
    <brk id="1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8"/>
  <sheetViews>
    <sheetView tabSelected="1" topLeftCell="C9" zoomScale="80" zoomScaleNormal="80" workbookViewId="0">
      <selection activeCell="K14" sqref="K14"/>
    </sheetView>
  </sheetViews>
  <sheetFormatPr defaultColWidth="8.88671875" defaultRowHeight="14.4" x14ac:dyDescent="0.3"/>
  <cols>
    <col min="1" max="2" width="3.6640625" style="62" customWidth="1"/>
    <col min="3" max="3" width="13.109375" style="62" customWidth="1"/>
    <col min="4" max="4" width="11.88671875" style="62" customWidth="1"/>
    <col min="5" max="5" width="10.88671875" style="62" customWidth="1"/>
    <col min="6" max="6" width="8.88671875" style="62"/>
    <col min="7" max="11" width="14.6640625" style="62" customWidth="1"/>
    <col min="12" max="12" width="15.44140625" style="62" customWidth="1"/>
    <col min="13" max="17" width="14.6640625" style="62" customWidth="1"/>
    <col min="18" max="18" width="13.88671875" style="62" customWidth="1"/>
    <col min="19" max="20" width="11.5546875" style="62" customWidth="1"/>
    <col min="21" max="16384" width="8.88671875" style="62"/>
  </cols>
  <sheetData>
    <row r="1" spans="1:21" x14ac:dyDescent="0.3">
      <c r="A1" s="159" t="s">
        <v>175</v>
      </c>
    </row>
    <row r="3" spans="1:21" x14ac:dyDescent="0.3">
      <c r="B3" s="159" t="s">
        <v>140</v>
      </c>
      <c r="I3" s="62" t="s">
        <v>141</v>
      </c>
    </row>
    <row r="5" spans="1:21" x14ac:dyDescent="0.3">
      <c r="B5" s="159" t="s">
        <v>142</v>
      </c>
    </row>
    <row r="7" spans="1:21" x14ac:dyDescent="0.3">
      <c r="F7" s="51"/>
      <c r="G7" s="51"/>
      <c r="I7" s="293" t="s">
        <v>143</v>
      </c>
      <c r="J7" s="293"/>
      <c r="K7" s="293"/>
      <c r="L7" s="293"/>
      <c r="M7" s="293"/>
      <c r="N7" s="293"/>
      <c r="O7" s="293"/>
      <c r="P7" s="173"/>
      <c r="Q7" s="173"/>
      <c r="R7" s="173"/>
      <c r="S7" s="173"/>
      <c r="T7" s="173"/>
    </row>
    <row r="8" spans="1:21" ht="30" customHeight="1" x14ac:dyDescent="0.3">
      <c r="A8" s="292" t="s">
        <v>144</v>
      </c>
      <c r="B8" s="292"/>
      <c r="C8" s="292"/>
      <c r="D8" s="292"/>
      <c r="E8" s="292"/>
      <c r="F8" s="202" t="s">
        <v>145</v>
      </c>
      <c r="G8" s="202" t="s">
        <v>146</v>
      </c>
      <c r="H8" s="202" t="s">
        <v>147</v>
      </c>
      <c r="I8" s="51">
        <f>+'Reg - Amort'!I8</f>
        <v>2019</v>
      </c>
      <c r="J8" s="51">
        <f>+'Reg - Amort'!J8</f>
        <v>2020</v>
      </c>
      <c r="K8" s="51">
        <f>+'Reg - Amort'!K8</f>
        <v>2021</v>
      </c>
      <c r="L8" s="51">
        <f>+'Reg - Amort'!L8</f>
        <v>2022</v>
      </c>
      <c r="M8" s="51">
        <f>+'Reg - Amort'!M8</f>
        <v>2023</v>
      </c>
      <c r="N8" s="51">
        <f>+'Reg - Amort'!N8</f>
        <v>2024</v>
      </c>
      <c r="O8" s="51">
        <f>+'Reg - Amort'!O8</f>
        <v>2025</v>
      </c>
      <c r="P8" s="51">
        <f>+'Reg - Amort'!P8</f>
        <v>2026</v>
      </c>
      <c r="Q8" s="51">
        <f>+'Reg - Amort'!Q8</f>
        <v>2027</v>
      </c>
      <c r="R8" s="51">
        <f>+'Reg - Amort'!R8</f>
        <v>2028</v>
      </c>
      <c r="S8" s="51">
        <f>+'Reg - Amort'!S8</f>
        <v>2029</v>
      </c>
      <c r="T8" s="51">
        <f>+'Reg - Amort'!T8</f>
        <v>2030</v>
      </c>
    </row>
    <row r="9" spans="1:21" x14ac:dyDescent="0.3">
      <c r="B9" s="62" t="s">
        <v>148</v>
      </c>
    </row>
    <row r="10" spans="1:21" x14ac:dyDescent="0.3">
      <c r="F10" s="51">
        <f>+'Reg - Amort'!F10</f>
        <v>2019</v>
      </c>
      <c r="G10" s="253">
        <f>+'Reg - Amort'!G10</f>
        <v>5.28</v>
      </c>
      <c r="H10" s="206">
        <v>0</v>
      </c>
      <c r="I10" s="81">
        <f>ROUND(H10/G10,0)</f>
        <v>0</v>
      </c>
      <c r="J10" s="81">
        <f>ROUND(H10/G10,0)</f>
        <v>0</v>
      </c>
      <c r="K10" s="81">
        <f>ROUND(H10/G10,0)</f>
        <v>0</v>
      </c>
      <c r="L10" s="81">
        <f>ROUND(H10/G10,0)</f>
        <v>0</v>
      </c>
      <c r="M10" s="81">
        <f>ROUND(H10/G10,0)</f>
        <v>0</v>
      </c>
      <c r="N10" s="81">
        <f>H10-I10-J10-K10-L10-M10</f>
        <v>0</v>
      </c>
      <c r="O10" s="81"/>
      <c r="P10" s="81"/>
      <c r="Q10" s="81"/>
      <c r="R10" s="81"/>
      <c r="S10" s="60"/>
      <c r="T10" s="60"/>
      <c r="U10" s="56">
        <f t="shared" ref="U10:U16" si="0">SUM(I10:T10)-H10</f>
        <v>0</v>
      </c>
    </row>
    <row r="11" spans="1:21" x14ac:dyDescent="0.3">
      <c r="F11" s="51">
        <f>+'Reg - Amort'!F11</f>
        <v>2020</v>
      </c>
      <c r="G11" s="253">
        <f>+'Reg - Amort'!G11</f>
        <v>5.5</v>
      </c>
      <c r="H11" s="206">
        <v>0</v>
      </c>
      <c r="I11" s="81"/>
      <c r="J11" s="81">
        <f>ROUND(H11/G11,0)</f>
        <v>0</v>
      </c>
      <c r="K11" s="81">
        <f>ROUND(H11/G11,0)</f>
        <v>0</v>
      </c>
      <c r="L11" s="81">
        <f>ROUND(H11/G11,0)</f>
        <v>0</v>
      </c>
      <c r="M11" s="81">
        <f>ROUND(H11/G11,0)</f>
        <v>0</v>
      </c>
      <c r="N11" s="81">
        <f>ROUND(H11/G11,0)</f>
        <v>0</v>
      </c>
      <c r="O11" s="257">
        <f>H11-J11-K11-L11-M11-N11</f>
        <v>0</v>
      </c>
      <c r="P11" s="81"/>
      <c r="Q11" s="81"/>
      <c r="R11" s="81"/>
      <c r="S11" s="60"/>
      <c r="T11" s="60"/>
      <c r="U11" s="56">
        <f t="shared" si="0"/>
        <v>0</v>
      </c>
    </row>
    <row r="12" spans="1:21" x14ac:dyDescent="0.3">
      <c r="F12" s="51">
        <f>+'Reg - Amort'!F12</f>
        <v>2021</v>
      </c>
      <c r="G12" s="253">
        <f>+'Reg - Amort'!G12</f>
        <v>5.49</v>
      </c>
      <c r="H12" s="206">
        <v>0</v>
      </c>
      <c r="I12" s="15"/>
      <c r="J12" s="15"/>
      <c r="K12" s="81">
        <f>ROUND(H12/G12,0)</f>
        <v>0</v>
      </c>
      <c r="L12" s="81">
        <f>ROUND(H12/G12,0)</f>
        <v>0</v>
      </c>
      <c r="M12" s="81">
        <f>ROUND(H12/G12,0)</f>
        <v>0</v>
      </c>
      <c r="N12" s="81">
        <f>ROUND(H12/G12,0)</f>
        <v>0</v>
      </c>
      <c r="O12" s="257">
        <f>ROUND(H12/G12,0)</f>
        <v>0</v>
      </c>
      <c r="P12" s="81">
        <f>H12-K12-L12-M12-N12-O12</f>
        <v>0</v>
      </c>
      <c r="Q12" s="81"/>
      <c r="R12" s="15"/>
      <c r="S12" s="60"/>
      <c r="T12" s="60"/>
      <c r="U12" s="56">
        <f t="shared" si="0"/>
        <v>0</v>
      </c>
    </row>
    <row r="13" spans="1:21" x14ac:dyDescent="0.3">
      <c r="F13" s="51">
        <f>+'Reg - Amort'!F13</f>
        <v>2022</v>
      </c>
      <c r="G13" s="253">
        <f>+'Reg - Amort'!G13</f>
        <v>5.38</v>
      </c>
      <c r="H13" s="206">
        <v>0</v>
      </c>
      <c r="I13" s="15"/>
      <c r="J13" s="15"/>
      <c r="K13" s="81"/>
      <c r="L13" s="81">
        <f>ROUND(H13/G13,0)</f>
        <v>0</v>
      </c>
      <c r="M13" s="81">
        <f>ROUND(H13/G13,0)</f>
        <v>0</v>
      </c>
      <c r="N13" s="81">
        <f>ROUND(H13/G13,0)</f>
        <v>0</v>
      </c>
      <c r="O13" s="257">
        <f t="shared" ref="O13:O16" si="1">ROUND(H13/G13,0)</f>
        <v>0</v>
      </c>
      <c r="P13" s="81">
        <f>ROUND(H13/G13,0)</f>
        <v>0</v>
      </c>
      <c r="Q13" s="81">
        <f>H13-L13-M13-N13-O13-P13</f>
        <v>0</v>
      </c>
      <c r="R13" s="15"/>
      <c r="S13" s="60"/>
      <c r="T13" s="60"/>
      <c r="U13" s="56">
        <f t="shared" si="0"/>
        <v>0</v>
      </c>
    </row>
    <row r="14" spans="1:21" s="60" customFormat="1" x14ac:dyDescent="0.3">
      <c r="F14" s="51">
        <f>+'Reg - Amort'!F14</f>
        <v>2023</v>
      </c>
      <c r="G14" s="253">
        <f>+'Reg - Amort'!G14</f>
        <v>5.4</v>
      </c>
      <c r="H14" s="206">
        <v>0</v>
      </c>
      <c r="I14" s="15"/>
      <c r="J14" s="15"/>
      <c r="K14" s="81"/>
      <c r="L14" s="81"/>
      <c r="M14" s="81">
        <f>ROUND(H14/G14,0)</f>
        <v>0</v>
      </c>
      <c r="N14" s="81">
        <f>ROUND(H14/G14,0)</f>
        <v>0</v>
      </c>
      <c r="O14" s="257">
        <f t="shared" si="1"/>
        <v>0</v>
      </c>
      <c r="P14" s="81">
        <f>ROUND(H14/G14,0)</f>
        <v>0</v>
      </c>
      <c r="Q14" s="81">
        <f>ROUND(H14/G14,0)</f>
        <v>0</v>
      </c>
      <c r="R14" s="81">
        <f>H14-M14-N14-O14-P14-Q14</f>
        <v>0</v>
      </c>
      <c r="U14" s="56">
        <f t="shared" si="0"/>
        <v>0</v>
      </c>
    </row>
    <row r="15" spans="1:21" s="60" customFormat="1" x14ac:dyDescent="0.3">
      <c r="F15" s="51">
        <f>+'Reg - Amort'!F15</f>
        <v>2024</v>
      </c>
      <c r="G15" s="253">
        <f>+'Reg - Amort'!G15</f>
        <v>5.4</v>
      </c>
      <c r="H15" s="206">
        <v>0</v>
      </c>
      <c r="I15" s="15"/>
      <c r="J15" s="15"/>
      <c r="K15" s="15"/>
      <c r="L15" s="15"/>
      <c r="M15" s="15"/>
      <c r="N15" s="81">
        <f>ROUND(H15/G15,0)</f>
        <v>0</v>
      </c>
      <c r="O15" s="257">
        <f t="shared" si="1"/>
        <v>0</v>
      </c>
      <c r="P15" s="1">
        <f>ROUND(H15/G15,0)</f>
        <v>0</v>
      </c>
      <c r="Q15" s="1">
        <f>ROUND(H15/G15,0)</f>
        <v>0</v>
      </c>
      <c r="R15" s="1">
        <f>ROUND(H15/G15,0)</f>
        <v>0</v>
      </c>
      <c r="S15" s="1">
        <f>H15-N15-O15-P15-Q15-R15</f>
        <v>0</v>
      </c>
      <c r="T15" s="1"/>
      <c r="U15" s="56">
        <f t="shared" si="0"/>
        <v>0</v>
      </c>
    </row>
    <row r="16" spans="1:21" s="60" customFormat="1" x14ac:dyDescent="0.3">
      <c r="F16" s="51">
        <f>+'Reg - Amort'!F16</f>
        <v>2025</v>
      </c>
      <c r="G16" s="253">
        <f>+'Reg - Amort'!G16</f>
        <v>5.36</v>
      </c>
      <c r="H16" s="206">
        <v>0</v>
      </c>
      <c r="I16" s="15"/>
      <c r="J16" s="15"/>
      <c r="K16" s="15"/>
      <c r="L16" s="15"/>
      <c r="M16" s="15"/>
      <c r="N16" s="81"/>
      <c r="O16" s="81">
        <f t="shared" si="1"/>
        <v>0</v>
      </c>
      <c r="P16" s="1">
        <f>ROUND(H16/G16,0)</f>
        <v>0</v>
      </c>
      <c r="Q16" s="1">
        <f>ROUND(H16/G16,0)</f>
        <v>0</v>
      </c>
      <c r="R16" s="1">
        <f>ROUND(H16/G16,0)</f>
        <v>0</v>
      </c>
      <c r="S16" s="1">
        <f>ROUND(H16/G16,0)</f>
        <v>0</v>
      </c>
      <c r="T16" s="1">
        <f>H16-O16-P16-Q16-R16-S16</f>
        <v>0</v>
      </c>
      <c r="U16" s="56">
        <f t="shared" si="0"/>
        <v>0</v>
      </c>
    </row>
    <row r="17" spans="1:21" s="60" customFormat="1" x14ac:dyDescent="0.3">
      <c r="E17" s="62"/>
      <c r="F17" s="62"/>
      <c r="G17" s="253"/>
      <c r="H17" s="256"/>
      <c r="I17" s="15"/>
      <c r="J17" s="15"/>
      <c r="K17" s="15"/>
      <c r="L17" s="15"/>
      <c r="M17" s="15"/>
      <c r="N17" s="81"/>
      <c r="P17" s="1"/>
      <c r="Q17" s="1"/>
      <c r="R17" s="1"/>
      <c r="S17" s="1"/>
      <c r="T17" s="1"/>
      <c r="U17" s="56"/>
    </row>
    <row r="18" spans="1:21" x14ac:dyDescent="0.3">
      <c r="I18" s="79"/>
      <c r="J18" s="79"/>
      <c r="K18" s="79"/>
      <c r="L18" s="79"/>
      <c r="M18" s="79"/>
      <c r="N18" s="79"/>
      <c r="O18" s="15"/>
      <c r="P18" s="79"/>
      <c r="Q18" s="79"/>
      <c r="R18" s="79"/>
      <c r="U18" s="60"/>
    </row>
    <row r="19" spans="1:21" x14ac:dyDescent="0.3">
      <c r="C19" s="62" t="s">
        <v>149</v>
      </c>
      <c r="I19" s="203">
        <f t="shared" ref="I19:T19" si="2">SUM(I10:I18)</f>
        <v>0</v>
      </c>
      <c r="J19" s="203">
        <f t="shared" si="2"/>
        <v>0</v>
      </c>
      <c r="K19" s="203">
        <f t="shared" si="2"/>
        <v>0</v>
      </c>
      <c r="L19" s="203">
        <f t="shared" si="2"/>
        <v>0</v>
      </c>
      <c r="M19" s="203">
        <f t="shared" si="2"/>
        <v>0</v>
      </c>
      <c r="N19" s="203">
        <f t="shared" si="2"/>
        <v>0</v>
      </c>
      <c r="O19" s="55">
        <f t="shared" si="2"/>
        <v>0</v>
      </c>
      <c r="P19" s="203">
        <f t="shared" si="2"/>
        <v>0</v>
      </c>
      <c r="Q19" s="203">
        <f t="shared" si="2"/>
        <v>0</v>
      </c>
      <c r="R19" s="203">
        <f t="shared" si="2"/>
        <v>0</v>
      </c>
      <c r="S19" s="203">
        <f t="shared" si="2"/>
        <v>0</v>
      </c>
      <c r="T19" s="203">
        <f t="shared" si="2"/>
        <v>0</v>
      </c>
      <c r="U19" s="56">
        <f>SUM(I19:T19)-SUM(H10:H18)</f>
        <v>0</v>
      </c>
    </row>
    <row r="20" spans="1:21" x14ac:dyDescent="0.3">
      <c r="I20" s="79"/>
      <c r="J20" s="79"/>
      <c r="K20" s="79"/>
      <c r="L20" s="79"/>
      <c r="M20" s="79"/>
      <c r="N20" s="79"/>
      <c r="O20" s="257">
        <f>SUM(O11:O15)</f>
        <v>0</v>
      </c>
      <c r="P20" s="79"/>
      <c r="Q20" s="79"/>
      <c r="U20" s="60"/>
    </row>
    <row r="21" spans="1:21" x14ac:dyDescent="0.3">
      <c r="G21" s="90" t="s">
        <v>275</v>
      </c>
      <c r="H21" s="81">
        <f>+'Protection Occupation'!J90</f>
        <v>0</v>
      </c>
      <c r="I21" s="79"/>
      <c r="J21" s="79"/>
      <c r="K21" s="79"/>
      <c r="L21" s="79"/>
      <c r="M21" s="79"/>
      <c r="N21" s="79"/>
      <c r="O21" s="258" t="s">
        <v>273</v>
      </c>
      <c r="P21" s="79"/>
      <c r="Q21" s="79"/>
      <c r="U21" s="60"/>
    </row>
    <row r="22" spans="1:21" x14ac:dyDescent="0.3">
      <c r="I22" s="79"/>
      <c r="J22" s="79"/>
      <c r="K22" s="79"/>
      <c r="L22" s="79"/>
      <c r="M22" s="79"/>
      <c r="N22" s="79"/>
      <c r="O22" s="81"/>
      <c r="P22" s="79"/>
      <c r="Q22" s="79"/>
      <c r="U22" s="60"/>
    </row>
    <row r="23" spans="1:21" ht="30" customHeight="1" x14ac:dyDescent="0.3">
      <c r="A23" s="292" t="s">
        <v>150</v>
      </c>
      <c r="B23" s="292"/>
      <c r="C23" s="292"/>
      <c r="D23" s="292"/>
      <c r="E23" s="292"/>
      <c r="I23" s="79"/>
      <c r="J23" s="79"/>
      <c r="K23" s="79"/>
      <c r="L23" s="79"/>
      <c r="M23" s="79"/>
      <c r="N23" s="79"/>
      <c r="P23" s="79"/>
      <c r="Q23" s="79"/>
      <c r="U23" s="60"/>
    </row>
    <row r="24" spans="1:21" x14ac:dyDescent="0.3">
      <c r="B24" s="62" t="s">
        <v>151</v>
      </c>
      <c r="I24" s="79"/>
      <c r="J24" s="79"/>
      <c r="K24" s="79"/>
      <c r="L24" s="79"/>
      <c r="M24" s="79"/>
      <c r="N24" s="79"/>
      <c r="O24" s="15"/>
      <c r="P24" s="79"/>
      <c r="Q24" s="79"/>
      <c r="U24" s="60"/>
    </row>
    <row r="25" spans="1:21" x14ac:dyDescent="0.3">
      <c r="F25" s="51">
        <f>+'Reg - Amort'!F25</f>
        <v>2019</v>
      </c>
      <c r="G25" s="253">
        <f>+'Reg - Amort'!G25</f>
        <v>5.28</v>
      </c>
      <c r="H25" s="206">
        <v>0</v>
      </c>
      <c r="I25" s="81">
        <f>ROUND(H25/G25,0)</f>
        <v>0</v>
      </c>
      <c r="J25" s="81">
        <f>ROUND(H25/G25,0)</f>
        <v>0</v>
      </c>
      <c r="K25" s="81">
        <f>ROUND(H25/G25,0)</f>
        <v>0</v>
      </c>
      <c r="L25" s="81">
        <f>ROUND(H25/G25,0)</f>
        <v>0</v>
      </c>
      <c r="M25" s="81">
        <f>ROUND(H25/G25,0)</f>
        <v>0</v>
      </c>
      <c r="N25" s="81">
        <f>H25-I25-J25-K25-L25-M25</f>
        <v>0</v>
      </c>
      <c r="O25" s="1"/>
      <c r="P25" s="81"/>
      <c r="Q25" s="81"/>
      <c r="R25" s="60"/>
      <c r="S25" s="60"/>
      <c r="T25" s="60"/>
      <c r="U25" s="56">
        <f t="shared" ref="U25:U31" si="3">SUM(I25:T25)-H25</f>
        <v>0</v>
      </c>
    </row>
    <row r="26" spans="1:21" x14ac:dyDescent="0.3">
      <c r="F26" s="51">
        <f>+'Reg - Amort'!F26</f>
        <v>2020</v>
      </c>
      <c r="G26" s="253">
        <f>+'Reg - Amort'!G26</f>
        <v>5.5</v>
      </c>
      <c r="H26" s="206">
        <v>0</v>
      </c>
      <c r="I26" s="81"/>
      <c r="J26" s="81">
        <f>ROUND(H26/G26,0)</f>
        <v>0</v>
      </c>
      <c r="K26" s="81">
        <f>ROUND(H26/G26,0)</f>
        <v>0</v>
      </c>
      <c r="L26" s="81">
        <f>ROUND(H26/G26,0)</f>
        <v>0</v>
      </c>
      <c r="M26" s="81">
        <f>ROUND(H26/G26,0)</f>
        <v>0</v>
      </c>
      <c r="N26" s="81">
        <f>ROUND(H26/G26,0)</f>
        <v>0</v>
      </c>
      <c r="O26" s="257">
        <f>H26-J26-K26-L26-M26-N26</f>
        <v>0</v>
      </c>
      <c r="P26" s="81"/>
      <c r="Q26" s="81"/>
      <c r="R26" s="60"/>
      <c r="S26" s="60"/>
      <c r="T26" s="60"/>
      <c r="U26" s="56">
        <f t="shared" si="3"/>
        <v>0</v>
      </c>
    </row>
    <row r="27" spans="1:21" x14ac:dyDescent="0.3">
      <c r="F27" s="51">
        <f>+'Reg - Amort'!F27</f>
        <v>2021</v>
      </c>
      <c r="G27" s="253">
        <f>+'Reg - Amort'!G27</f>
        <v>5.49</v>
      </c>
      <c r="H27" s="206">
        <v>0</v>
      </c>
      <c r="I27" s="15"/>
      <c r="J27" s="15"/>
      <c r="K27" s="81">
        <f>ROUND(H27/G27,0)</f>
        <v>0</v>
      </c>
      <c r="L27" s="81">
        <f>ROUND(H27/G27,0)</f>
        <v>0</v>
      </c>
      <c r="M27" s="81">
        <f>ROUND(H27/G27,0)</f>
        <v>0</v>
      </c>
      <c r="N27" s="81">
        <f>ROUND(H27/G27,0)</f>
        <v>0</v>
      </c>
      <c r="O27" s="257">
        <f>ROUND(H27/G27,0)</f>
        <v>0</v>
      </c>
      <c r="P27" s="81">
        <f>H27-K27-L27-M27-N27-O27</f>
        <v>0</v>
      </c>
      <c r="Q27" s="81"/>
      <c r="R27" s="60"/>
      <c r="S27" s="60"/>
      <c r="T27" s="60"/>
      <c r="U27" s="56">
        <f t="shared" si="3"/>
        <v>0</v>
      </c>
    </row>
    <row r="28" spans="1:21" x14ac:dyDescent="0.3">
      <c r="F28" s="51">
        <f>+'Reg - Amort'!F28</f>
        <v>2022</v>
      </c>
      <c r="G28" s="253">
        <f>+'Reg - Amort'!G28</f>
        <v>5.38</v>
      </c>
      <c r="H28" s="206">
        <v>0</v>
      </c>
      <c r="I28" s="15"/>
      <c r="J28" s="15"/>
      <c r="K28" s="81"/>
      <c r="L28" s="81">
        <f>ROUND(H28/G28,0)</f>
        <v>0</v>
      </c>
      <c r="M28" s="81">
        <f>ROUND(H28/G28,0)</f>
        <v>0</v>
      </c>
      <c r="N28" s="81">
        <f>ROUND(H28/G28,0)</f>
        <v>0</v>
      </c>
      <c r="O28" s="257">
        <f>ROUND(H28/G28,0)</f>
        <v>0</v>
      </c>
      <c r="P28" s="81">
        <f>ROUND(H28/G28,0)</f>
        <v>0</v>
      </c>
      <c r="Q28" s="81">
        <f>H28-L28-M28-N28-O28-P28</f>
        <v>0</v>
      </c>
      <c r="R28" s="60"/>
      <c r="S28" s="60"/>
      <c r="T28" s="60"/>
      <c r="U28" s="56">
        <f t="shared" si="3"/>
        <v>0</v>
      </c>
    </row>
    <row r="29" spans="1:21" s="60" customFormat="1" x14ac:dyDescent="0.3">
      <c r="F29" s="51">
        <f>+'Reg - Amort'!F29</f>
        <v>2023</v>
      </c>
      <c r="G29" s="253">
        <f>+'Reg - Amort'!G29</f>
        <v>5.4</v>
      </c>
      <c r="H29" s="206">
        <v>0</v>
      </c>
      <c r="I29" s="15"/>
      <c r="J29" s="15"/>
      <c r="K29" s="81"/>
      <c r="L29" s="81"/>
      <c r="M29" s="81">
        <f>ROUND(H29/G29,0)</f>
        <v>0</v>
      </c>
      <c r="N29" s="81">
        <f>ROUND(H29/G29,0)</f>
        <v>0</v>
      </c>
      <c r="O29" s="257">
        <f>ROUND(H29/G29,0)</f>
        <v>0</v>
      </c>
      <c r="P29" s="81">
        <f>ROUND(H29/G29,0)</f>
        <v>0</v>
      </c>
      <c r="Q29" s="81">
        <f>ROUND(H29/G29,0)</f>
        <v>0</v>
      </c>
      <c r="R29" s="81">
        <f>H29-M29-N29-O29-P29-Q29</f>
        <v>0</v>
      </c>
      <c r="U29" s="56">
        <f t="shared" si="3"/>
        <v>0</v>
      </c>
    </row>
    <row r="30" spans="1:21" s="60" customFormat="1" x14ac:dyDescent="0.3">
      <c r="F30" s="51">
        <f>+'Reg - Amort'!F30</f>
        <v>2024</v>
      </c>
      <c r="G30" s="253">
        <f>+'Reg - Amort'!G30</f>
        <v>5.4</v>
      </c>
      <c r="H30" s="206">
        <v>0</v>
      </c>
      <c r="I30" s="1"/>
      <c r="J30" s="1"/>
      <c r="K30" s="1"/>
      <c r="L30" s="1"/>
      <c r="M30" s="1"/>
      <c r="N30" s="1">
        <f>ROUND(H30/G30,0)</f>
        <v>0</v>
      </c>
      <c r="O30" s="257">
        <f>ROUND(H30/G30,0)</f>
        <v>0</v>
      </c>
      <c r="P30" s="1">
        <f>ROUND(H30/G30,0)</f>
        <v>0</v>
      </c>
      <c r="Q30" s="1">
        <f>ROUND(H30/G30,0)</f>
        <v>0</v>
      </c>
      <c r="R30" s="1">
        <f>ROUND(H30/G30,0)</f>
        <v>0</v>
      </c>
      <c r="S30" s="1">
        <f>H30-N30-O30-P30-Q30-R30</f>
        <v>0</v>
      </c>
      <c r="T30" s="1"/>
      <c r="U30" s="56">
        <f t="shared" si="3"/>
        <v>0</v>
      </c>
    </row>
    <row r="31" spans="1:21" s="60" customFormat="1" x14ac:dyDescent="0.3">
      <c r="E31" s="62"/>
      <c r="F31" s="51">
        <f>+'Reg - Amort'!F31</f>
        <v>2025</v>
      </c>
      <c r="G31" s="253">
        <f>+G16</f>
        <v>5.36</v>
      </c>
      <c r="H31" s="206">
        <v>0</v>
      </c>
      <c r="I31" s="1"/>
      <c r="J31" s="1"/>
      <c r="K31" s="1"/>
      <c r="L31" s="1"/>
      <c r="M31" s="1"/>
      <c r="N31" s="1"/>
      <c r="O31" s="1">
        <f>ROUND(H31/G31,0)</f>
        <v>0</v>
      </c>
      <c r="P31" s="1">
        <f>ROUND(H31/G31,0)</f>
        <v>0</v>
      </c>
      <c r="Q31" s="1">
        <f>ROUND(H31/G31,0)</f>
        <v>0</v>
      </c>
      <c r="R31" s="1">
        <f>ROUND(H31/G31,0)</f>
        <v>0</v>
      </c>
      <c r="S31" s="1">
        <f>ROUND(H31/G31,0)</f>
        <v>0</v>
      </c>
      <c r="T31" s="1">
        <f>H31-O31-P31-Q31-R31-S31</f>
        <v>0</v>
      </c>
      <c r="U31" s="56">
        <f t="shared" si="3"/>
        <v>0</v>
      </c>
    </row>
    <row r="32" spans="1:21" x14ac:dyDescent="0.3">
      <c r="O32" s="1"/>
      <c r="U32" s="60"/>
    </row>
    <row r="33" spans="1:21" ht="15" thickBot="1" x14ac:dyDescent="0.35">
      <c r="C33" s="62" t="s">
        <v>176</v>
      </c>
      <c r="I33" s="82">
        <f t="shared" ref="I33:T33" si="4">SUM(I25:I32)</f>
        <v>0</v>
      </c>
      <c r="J33" s="82">
        <f t="shared" si="4"/>
        <v>0</v>
      </c>
      <c r="K33" s="82">
        <f t="shared" si="4"/>
        <v>0</v>
      </c>
      <c r="L33" s="82">
        <f t="shared" si="4"/>
        <v>0</v>
      </c>
      <c r="M33" s="82">
        <f t="shared" si="4"/>
        <v>0</v>
      </c>
      <c r="N33" s="82">
        <f t="shared" si="4"/>
        <v>0</v>
      </c>
      <c r="O33" s="3">
        <f t="shared" si="4"/>
        <v>0</v>
      </c>
      <c r="P33" s="82">
        <f t="shared" si="4"/>
        <v>0</v>
      </c>
      <c r="Q33" s="82">
        <f t="shared" si="4"/>
        <v>0</v>
      </c>
      <c r="R33" s="82">
        <f t="shared" si="4"/>
        <v>0</v>
      </c>
      <c r="S33" s="82">
        <f t="shared" si="4"/>
        <v>0</v>
      </c>
      <c r="T33" s="82">
        <f t="shared" si="4"/>
        <v>0</v>
      </c>
      <c r="U33" s="56">
        <f>SUM(I33:T33)-SUM(H25:H32)</f>
        <v>0</v>
      </c>
    </row>
    <row r="34" spans="1:21" ht="15" thickTop="1" x14ac:dyDescent="0.3">
      <c r="O34" s="257">
        <f>SUM(O26:O30)</f>
        <v>0</v>
      </c>
    </row>
    <row r="35" spans="1:21" x14ac:dyDescent="0.3">
      <c r="O35" s="284" t="s">
        <v>273</v>
      </c>
    </row>
    <row r="36" spans="1:21" x14ac:dyDescent="0.3">
      <c r="A36" s="181" t="s">
        <v>153</v>
      </c>
    </row>
    <row r="37" spans="1:21" x14ac:dyDescent="0.3">
      <c r="G37" s="291" t="s">
        <v>46</v>
      </c>
      <c r="H37" s="291"/>
      <c r="I37" s="291"/>
      <c r="J37" s="291"/>
      <c r="L37" s="291" t="s">
        <v>47</v>
      </c>
      <c r="M37" s="291"/>
      <c r="N37" s="291"/>
      <c r="O37" s="291"/>
    </row>
    <row r="38" spans="1:21" x14ac:dyDescent="0.3">
      <c r="B38" s="62" t="s">
        <v>154</v>
      </c>
      <c r="G38" s="51" t="s">
        <v>155</v>
      </c>
      <c r="H38" s="80" t="s">
        <v>156</v>
      </c>
      <c r="I38" s="80" t="s">
        <v>157</v>
      </c>
      <c r="L38" s="51" t="s">
        <v>155</v>
      </c>
      <c r="M38" s="80" t="s">
        <v>156</v>
      </c>
      <c r="N38" s="80" t="s">
        <v>157</v>
      </c>
    </row>
    <row r="39" spans="1:21" x14ac:dyDescent="0.3">
      <c r="B39" s="62" t="s">
        <v>158</v>
      </c>
      <c r="G39" s="45" t="s">
        <v>159</v>
      </c>
      <c r="H39" s="45" t="s">
        <v>160</v>
      </c>
      <c r="I39" s="45" t="s">
        <v>161</v>
      </c>
      <c r="J39" s="45" t="s">
        <v>162</v>
      </c>
      <c r="L39" s="45" t="s">
        <v>159</v>
      </c>
      <c r="M39" s="45" t="s">
        <v>160</v>
      </c>
      <c r="N39" s="45" t="s">
        <v>161</v>
      </c>
      <c r="O39" s="45" t="s">
        <v>162</v>
      </c>
    </row>
    <row r="40" spans="1:21" x14ac:dyDescent="0.3">
      <c r="E40" s="62">
        <f>+P8</f>
        <v>2026</v>
      </c>
      <c r="G40" s="81">
        <v>74398326</v>
      </c>
      <c r="H40" s="81">
        <f>G40*D47</f>
        <v>0</v>
      </c>
      <c r="I40" s="81">
        <f>P19</f>
        <v>0</v>
      </c>
      <c r="J40" s="81">
        <f t="shared" ref="J40:J45" si="5">SUM(H40:I40)</f>
        <v>0</v>
      </c>
      <c r="K40" s="81"/>
      <c r="L40" s="81">
        <v>-95161519</v>
      </c>
      <c r="M40" s="81">
        <f>L40*D47</f>
        <v>0</v>
      </c>
      <c r="N40" s="81">
        <f>P33</f>
        <v>0</v>
      </c>
      <c r="O40" s="81">
        <f t="shared" ref="O40:O45" si="6">SUM(M40:N40)</f>
        <v>0</v>
      </c>
    </row>
    <row r="41" spans="1:21" x14ac:dyDescent="0.3">
      <c r="A41" s="181"/>
      <c r="E41" s="62">
        <f>+Q8</f>
        <v>2027</v>
      </c>
      <c r="G41" s="81">
        <v>70793169</v>
      </c>
      <c r="H41" s="81">
        <f>G41*D47</f>
        <v>0</v>
      </c>
      <c r="I41" s="81">
        <f>+Q19</f>
        <v>0</v>
      </c>
      <c r="J41" s="81">
        <f t="shared" si="5"/>
        <v>0</v>
      </c>
      <c r="K41" s="81"/>
      <c r="L41" s="81">
        <v>-14584385</v>
      </c>
      <c r="M41" s="81">
        <f>L41*D47</f>
        <v>0</v>
      </c>
      <c r="N41" s="81">
        <f>Q33</f>
        <v>0</v>
      </c>
      <c r="O41" s="81">
        <f t="shared" si="6"/>
        <v>0</v>
      </c>
    </row>
    <row r="42" spans="1:21" x14ac:dyDescent="0.3">
      <c r="E42" s="62">
        <f>+R8</f>
        <v>2028</v>
      </c>
      <c r="G42" s="81">
        <v>17838609</v>
      </c>
      <c r="H42" s="81">
        <f>G42*D47</f>
        <v>0</v>
      </c>
      <c r="I42" s="81">
        <f>+R19</f>
        <v>0</v>
      </c>
      <c r="J42" s="205">
        <f t="shared" si="5"/>
        <v>0</v>
      </c>
      <c r="K42" s="81"/>
      <c r="L42" s="81">
        <v>-10990103</v>
      </c>
      <c r="M42" s="81">
        <f>L42*D47</f>
        <v>0</v>
      </c>
      <c r="N42" s="81">
        <f>R33</f>
        <v>0</v>
      </c>
      <c r="O42" s="205">
        <f t="shared" si="6"/>
        <v>0</v>
      </c>
    </row>
    <row r="43" spans="1:21" x14ac:dyDescent="0.3">
      <c r="E43" s="62">
        <f>S8</f>
        <v>2029</v>
      </c>
      <c r="G43" s="81">
        <v>4220052</v>
      </c>
      <c r="H43" s="81">
        <f>G43*D47</f>
        <v>0</v>
      </c>
      <c r="I43" s="81">
        <f>+S19</f>
        <v>0</v>
      </c>
      <c r="J43" s="81">
        <f t="shared" si="5"/>
        <v>0</v>
      </c>
      <c r="K43" s="81"/>
      <c r="L43" s="81">
        <v>-8593914</v>
      </c>
      <c r="M43" s="81">
        <f>L43*D47</f>
        <v>0</v>
      </c>
      <c r="N43" s="81">
        <f>S33</f>
        <v>0</v>
      </c>
      <c r="O43" s="81">
        <f t="shared" si="6"/>
        <v>0</v>
      </c>
    </row>
    <row r="44" spans="1:21" x14ac:dyDescent="0.3">
      <c r="E44" s="62">
        <f>+T8</f>
        <v>2030</v>
      </c>
      <c r="G44" s="81">
        <v>345665</v>
      </c>
      <c r="H44" s="81">
        <f>G44*D47</f>
        <v>0</v>
      </c>
      <c r="I44" s="81">
        <f>+T19</f>
        <v>0</v>
      </c>
      <c r="J44" s="81">
        <f t="shared" si="5"/>
        <v>0</v>
      </c>
      <c r="K44" s="81"/>
      <c r="L44" s="81">
        <v>0</v>
      </c>
      <c r="M44" s="81">
        <f>L44*D47</f>
        <v>0</v>
      </c>
      <c r="N44" s="81">
        <f>T33</f>
        <v>0</v>
      </c>
      <c r="O44" s="81">
        <f t="shared" si="6"/>
        <v>0</v>
      </c>
    </row>
    <row r="45" spans="1:21" x14ac:dyDescent="0.3">
      <c r="E45" s="90" t="s">
        <v>163</v>
      </c>
      <c r="G45" s="81">
        <v>0</v>
      </c>
      <c r="H45" s="81">
        <f>G45*D47</f>
        <v>0</v>
      </c>
      <c r="I45" s="81"/>
      <c r="J45" s="81">
        <f t="shared" si="5"/>
        <v>0</v>
      </c>
      <c r="K45" s="81"/>
      <c r="L45" s="81">
        <v>0</v>
      </c>
      <c r="M45" s="81">
        <f>L45*D47</f>
        <v>0</v>
      </c>
      <c r="N45" s="81"/>
      <c r="O45" s="81">
        <f t="shared" si="6"/>
        <v>0</v>
      </c>
    </row>
    <row r="46" spans="1:21" ht="15" thickBot="1" x14ac:dyDescent="0.35">
      <c r="E46" s="62" t="s">
        <v>164</v>
      </c>
      <c r="G46" s="82">
        <f>SUM(G40:G45)</f>
        <v>167595821</v>
      </c>
      <c r="H46" s="82">
        <f>SUM(H40:H45)</f>
        <v>0</v>
      </c>
      <c r="I46" s="82">
        <f>SUM(I40:I45)</f>
        <v>0</v>
      </c>
      <c r="J46" s="82">
        <f>SUM(J40:J45)</f>
        <v>0</v>
      </c>
      <c r="K46" s="81"/>
      <c r="L46" s="82">
        <f>SUM(L40:L45)</f>
        <v>-129329921</v>
      </c>
      <c r="M46" s="82">
        <f>SUM(M40:M45)</f>
        <v>0</v>
      </c>
      <c r="N46" s="82">
        <f>SUM(N40:N45)</f>
        <v>0</v>
      </c>
      <c r="O46" s="82">
        <f>SUM(O40:O45)</f>
        <v>0</v>
      </c>
    </row>
    <row r="47" spans="1:21" ht="15.6" thickTop="1" thickBot="1" x14ac:dyDescent="0.35">
      <c r="A47" s="62" t="s">
        <v>165</v>
      </c>
      <c r="D47" s="204">
        <f>'Protection Occupation'!$G$18</f>
        <v>0</v>
      </c>
      <c r="G47" s="81" t="str">
        <f>IF(G46='2024 Data'!L16,"","ERROR")</f>
        <v/>
      </c>
      <c r="H47" s="62" t="s">
        <v>166</v>
      </c>
      <c r="I47" s="81"/>
      <c r="J47" s="81"/>
      <c r="K47" s="1"/>
      <c r="L47" s="81" t="str">
        <f>IF(-L46='2024 Data'!L22,"","ERROR")</f>
        <v/>
      </c>
      <c r="M47" s="81" t="s">
        <v>167</v>
      </c>
    </row>
    <row r="48" spans="1:21" ht="15" thickTop="1" x14ac:dyDescent="0.3"/>
  </sheetData>
  <mergeCells count="5">
    <mergeCell ref="I7:O7"/>
    <mergeCell ref="G37:J37"/>
    <mergeCell ref="L37:O37"/>
    <mergeCell ref="A8:E8"/>
    <mergeCell ref="A23:E23"/>
  </mergeCells>
  <conditionalFormatting sqref="U10:U17 U19 U25:U31">
    <cfRule type="cellIs" dxfId="1" priority="2" operator="notEqual">
      <formula>0</formula>
    </cfRule>
  </conditionalFormatting>
  <conditionalFormatting sqref="U33">
    <cfRule type="cellIs" dxfId="0" priority="1" operator="notEqual">
      <formula>0</formula>
    </cfRule>
  </conditionalFormatting>
  <pageMargins left="0.7" right="0.7" top="0.75" bottom="0.75" header="0.3" footer="0.3"/>
  <pageSetup scale="5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D60"/>
  <sheetViews>
    <sheetView topLeftCell="A36" workbookViewId="0">
      <selection activeCell="N52" sqref="N52"/>
    </sheetView>
  </sheetViews>
  <sheetFormatPr defaultRowHeight="14.4" x14ac:dyDescent="0.3"/>
  <cols>
    <col min="1" max="1" width="3.5546875" customWidth="1"/>
    <col min="8" max="8" width="11.33203125" customWidth="1"/>
    <col min="9" max="9" width="3.33203125" customWidth="1"/>
    <col min="10" max="10" width="11.5546875" bestFit="1" customWidth="1"/>
    <col min="11" max="11" width="3.44140625" customWidth="1"/>
    <col min="12" max="12" width="10.6640625" customWidth="1"/>
    <col min="13" max="13" width="3.44140625" customWidth="1"/>
    <col min="14" max="14" width="11.33203125" customWidth="1"/>
    <col min="15" max="15" width="3.88671875" customWidth="1"/>
    <col min="16" max="16" width="10.44140625" customWidth="1"/>
    <col min="17" max="17" width="3.5546875" customWidth="1"/>
    <col min="18" max="18" width="10.33203125" customWidth="1"/>
    <col min="19" max="19" width="3" customWidth="1"/>
    <col min="20" max="20" width="12" customWidth="1"/>
    <col min="21" max="21" width="3.5546875" customWidth="1"/>
    <col min="22" max="22" width="11.5546875" customWidth="1"/>
    <col min="23" max="23" width="12.5546875" customWidth="1"/>
    <col min="24" max="24" width="13.5546875" style="60" customWidth="1"/>
    <col min="25" max="25" width="12.33203125" style="60" customWidth="1"/>
    <col min="26" max="26" width="13.6640625" style="60" customWidth="1"/>
    <col min="27" max="27" width="14.33203125" style="60" customWidth="1"/>
    <col min="28" max="28" width="8.88671875" style="60"/>
    <col min="29" max="29" width="20.109375" bestFit="1" customWidth="1"/>
  </cols>
  <sheetData>
    <row r="2" spans="1:28" x14ac:dyDescent="0.3">
      <c r="A2" s="6" t="s">
        <v>294</v>
      </c>
      <c r="B2" s="181"/>
      <c r="C2" s="181"/>
      <c r="D2" s="181"/>
      <c r="E2" s="181"/>
      <c r="F2" s="181"/>
      <c r="G2" s="181"/>
      <c r="H2" s="181"/>
      <c r="I2" s="181"/>
      <c r="J2" s="181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8" ht="15" thickBot="1" x14ac:dyDescent="0.35">
      <c r="A3" s="6"/>
      <c r="B3" s="6"/>
      <c r="C3" s="6"/>
      <c r="D3" s="6"/>
      <c r="E3" s="6"/>
      <c r="F3" s="6"/>
      <c r="G3" s="6"/>
      <c r="H3" s="294" t="s">
        <v>177</v>
      </c>
      <c r="I3" s="294"/>
      <c r="J3" s="294"/>
      <c r="K3" s="60"/>
      <c r="L3" s="294" t="s">
        <v>171</v>
      </c>
      <c r="M3" s="294"/>
      <c r="N3" s="294"/>
      <c r="O3" s="60"/>
      <c r="P3" s="294" t="s">
        <v>20</v>
      </c>
      <c r="Q3" s="294"/>
      <c r="R3" s="294"/>
      <c r="S3" s="60"/>
      <c r="T3" s="294" t="s">
        <v>162</v>
      </c>
      <c r="U3" s="294"/>
      <c r="V3" s="294"/>
      <c r="W3" s="60"/>
    </row>
    <row r="4" spans="1:28" ht="15" thickBot="1" x14ac:dyDescent="0.35">
      <c r="A4" s="60"/>
      <c r="B4" s="60"/>
      <c r="C4" s="60"/>
      <c r="D4" s="60"/>
      <c r="E4" s="60"/>
      <c r="F4" s="60"/>
      <c r="G4" s="60"/>
      <c r="H4" s="10" t="s">
        <v>120</v>
      </c>
      <c r="I4" s="11"/>
      <c r="J4" s="10" t="s">
        <v>121</v>
      </c>
      <c r="K4" s="60"/>
      <c r="L4" s="10" t="s">
        <v>120</v>
      </c>
      <c r="M4" s="11"/>
      <c r="N4" s="10" t="s">
        <v>121</v>
      </c>
      <c r="O4" s="60"/>
      <c r="P4" s="10" t="s">
        <v>120</v>
      </c>
      <c r="Q4" s="11"/>
      <c r="R4" s="10" t="s">
        <v>121</v>
      </c>
      <c r="S4" s="60"/>
      <c r="T4" s="10" t="s">
        <v>120</v>
      </c>
      <c r="U4" s="11"/>
      <c r="V4" s="10" t="s">
        <v>121</v>
      </c>
      <c r="W4" s="60"/>
      <c r="X4" s="215" t="s">
        <v>178</v>
      </c>
      <c r="Y4" s="216" t="s">
        <v>179</v>
      </c>
      <c r="Z4" s="216" t="s">
        <v>180</v>
      </c>
      <c r="AA4" s="216" t="s">
        <v>181</v>
      </c>
      <c r="AB4" s="217"/>
    </row>
    <row r="5" spans="1:28" ht="15" thickTop="1" x14ac:dyDescent="0.3">
      <c r="A5" s="60" t="s">
        <v>79</v>
      </c>
      <c r="B5" s="60"/>
      <c r="C5" s="60"/>
      <c r="D5" s="60"/>
      <c r="E5" s="60"/>
      <c r="F5" s="60"/>
      <c r="G5" s="60"/>
      <c r="H5" s="20"/>
      <c r="I5" s="11"/>
      <c r="J5" s="20"/>
      <c r="K5" s="60"/>
      <c r="L5" s="20"/>
      <c r="M5" s="11"/>
      <c r="N5" s="20"/>
      <c r="O5" s="60"/>
      <c r="P5" s="20"/>
      <c r="Q5" s="11"/>
      <c r="R5" s="20"/>
      <c r="S5" s="60"/>
      <c r="T5" s="60"/>
      <c r="U5" s="60"/>
      <c r="V5" s="60"/>
      <c r="W5" s="60"/>
      <c r="X5" s="218"/>
      <c r="AB5" s="219"/>
    </row>
    <row r="6" spans="1:28" x14ac:dyDescent="0.3">
      <c r="A6" s="60"/>
      <c r="B6" s="60" t="s">
        <v>122</v>
      </c>
      <c r="C6" s="60"/>
      <c r="D6" s="60"/>
      <c r="E6" s="60"/>
      <c r="F6" s="60"/>
      <c r="G6" s="60"/>
      <c r="H6" s="1">
        <f>+Regular!H114</f>
        <v>0</v>
      </c>
      <c r="I6" s="1"/>
      <c r="J6" s="12">
        <f>+Regular!J114</f>
        <v>0</v>
      </c>
      <c r="K6" s="60"/>
      <c r="L6" s="1">
        <f>+'Sheriffs and Deputies'!H114</f>
        <v>0</v>
      </c>
      <c r="M6" s="1"/>
      <c r="N6" s="1">
        <v>0</v>
      </c>
      <c r="O6" s="60"/>
      <c r="P6" s="1">
        <f>+'Protection Occupation'!H114</f>
        <v>0</v>
      </c>
      <c r="Q6" s="1"/>
      <c r="R6" s="12">
        <f>+'Protection Occupation'!J114</f>
        <v>0</v>
      </c>
      <c r="S6" s="60"/>
      <c r="T6" s="61">
        <f>+P6+L6+H6</f>
        <v>0</v>
      </c>
      <c r="U6" s="60"/>
      <c r="V6" s="19">
        <f>+R6+N6+J6</f>
        <v>0</v>
      </c>
      <c r="W6" s="60"/>
      <c r="X6" s="220">
        <f>T6</f>
        <v>0</v>
      </c>
      <c r="Y6" s="56"/>
      <c r="Z6" s="56"/>
      <c r="AA6" s="56"/>
      <c r="AB6" s="219"/>
    </row>
    <row r="7" spans="1:28" x14ac:dyDescent="0.3">
      <c r="A7" s="60"/>
      <c r="B7" s="60" t="s">
        <v>130</v>
      </c>
      <c r="C7" s="60"/>
      <c r="D7" s="60"/>
      <c r="E7" s="60"/>
      <c r="F7" s="60"/>
      <c r="G7" s="60"/>
      <c r="H7" s="21">
        <f>+Regular!H115</f>
        <v>0</v>
      </c>
      <c r="I7" s="12"/>
      <c r="J7" s="21">
        <f>+Regular!J115</f>
        <v>0</v>
      </c>
      <c r="K7" s="60"/>
      <c r="L7" s="21">
        <f>+'Sheriffs and Deputies'!H115</f>
        <v>0</v>
      </c>
      <c r="M7" s="12"/>
      <c r="N7" s="21">
        <v>0</v>
      </c>
      <c r="O7" s="60"/>
      <c r="P7" s="21">
        <f>+'Protection Occupation'!H115</f>
        <v>0</v>
      </c>
      <c r="Q7" s="12"/>
      <c r="R7" s="21">
        <f>+'Protection Occupation'!J115</f>
        <v>0</v>
      </c>
      <c r="S7" s="60"/>
      <c r="T7" s="21">
        <f t="shared" ref="T7:T25" si="0">+P7+L7+H7</f>
        <v>0</v>
      </c>
      <c r="U7" s="12"/>
      <c r="V7" s="21">
        <f t="shared" ref="V7:V25" si="1">+R7+N7+J7</f>
        <v>0</v>
      </c>
      <c r="W7" s="60"/>
      <c r="X7" s="220">
        <f>T7</f>
        <v>0</v>
      </c>
      <c r="Y7" s="56"/>
      <c r="Z7" s="56"/>
      <c r="AA7" s="56"/>
      <c r="AB7" s="219"/>
    </row>
    <row r="8" spans="1:28" x14ac:dyDescent="0.3">
      <c r="A8" s="60"/>
      <c r="B8" s="60" t="s">
        <v>124</v>
      </c>
      <c r="C8" s="60"/>
      <c r="D8" s="60"/>
      <c r="E8" s="60"/>
      <c r="F8" s="60"/>
      <c r="G8" s="60"/>
      <c r="H8" s="21">
        <f>+Regular!N39</f>
        <v>0</v>
      </c>
      <c r="I8" s="12"/>
      <c r="J8" s="21"/>
      <c r="K8" s="60"/>
      <c r="L8" s="21">
        <f>+'Sheriffs and Deputies'!N39</f>
        <v>0</v>
      </c>
      <c r="M8" s="12"/>
      <c r="N8" s="21"/>
      <c r="O8" s="60"/>
      <c r="P8" s="21">
        <f>+'Protection Occupation'!N39</f>
        <v>0</v>
      </c>
      <c r="Q8" s="12"/>
      <c r="R8" s="21"/>
      <c r="S8" s="60"/>
      <c r="T8" s="21">
        <f t="shared" si="0"/>
        <v>0</v>
      </c>
      <c r="U8" s="12"/>
      <c r="V8" s="21">
        <f t="shared" si="1"/>
        <v>0</v>
      </c>
      <c r="W8" s="60"/>
      <c r="X8" s="220">
        <f>T8</f>
        <v>0</v>
      </c>
      <c r="Y8" s="56"/>
      <c r="Z8" s="56"/>
      <c r="AA8" s="56"/>
      <c r="AB8" s="219"/>
    </row>
    <row r="9" spans="1:28" x14ac:dyDescent="0.3">
      <c r="A9" s="60"/>
      <c r="B9" s="60" t="s">
        <v>126</v>
      </c>
      <c r="C9" s="60"/>
      <c r="D9" s="60"/>
      <c r="E9" s="60"/>
      <c r="F9" s="60"/>
      <c r="G9" s="60"/>
      <c r="H9" s="21">
        <f>+Regular!H117</f>
        <v>0</v>
      </c>
      <c r="I9" s="12"/>
      <c r="J9" s="60"/>
      <c r="K9" s="60"/>
      <c r="L9" s="21">
        <f>+'Sheriffs and Deputies'!H117</f>
        <v>0</v>
      </c>
      <c r="M9" s="12"/>
      <c r="N9" s="60"/>
      <c r="O9" s="60"/>
      <c r="P9" s="21">
        <f>+'Protection Occupation'!H117</f>
        <v>0</v>
      </c>
      <c r="Q9" s="12"/>
      <c r="R9" s="60"/>
      <c r="S9" s="60"/>
      <c r="T9" s="21">
        <f t="shared" si="0"/>
        <v>0</v>
      </c>
      <c r="U9" s="12"/>
      <c r="V9" s="60"/>
      <c r="W9" s="60"/>
      <c r="X9" s="220">
        <f>T9</f>
        <v>0</v>
      </c>
      <c r="Y9" s="56"/>
      <c r="Z9" s="56"/>
      <c r="AA9" s="56"/>
      <c r="AB9" s="219"/>
    </row>
    <row r="10" spans="1:28" x14ac:dyDescent="0.3">
      <c r="A10" s="60" t="s">
        <v>45</v>
      </c>
      <c r="B10" s="60"/>
      <c r="C10" s="60"/>
      <c r="D10" s="60"/>
      <c r="E10" s="60"/>
      <c r="F10" s="60"/>
      <c r="G10" s="60"/>
      <c r="H10" s="21"/>
      <c r="I10" s="12"/>
      <c r="J10" s="21"/>
      <c r="K10" s="60"/>
      <c r="L10" s="21"/>
      <c r="M10" s="12"/>
      <c r="N10" s="21"/>
      <c r="O10" s="60"/>
      <c r="P10" s="21"/>
      <c r="Q10" s="12"/>
      <c r="R10" s="21"/>
      <c r="S10" s="60"/>
      <c r="T10" s="21">
        <f t="shared" si="0"/>
        <v>0</v>
      </c>
      <c r="U10" s="12"/>
      <c r="V10" s="21">
        <f t="shared" si="1"/>
        <v>0</v>
      </c>
      <c r="W10" s="60"/>
      <c r="X10" s="220"/>
      <c r="Y10" s="56"/>
      <c r="Z10" s="56"/>
      <c r="AA10" s="56"/>
      <c r="AB10" s="219"/>
    </row>
    <row r="11" spans="1:28" x14ac:dyDescent="0.3">
      <c r="A11" s="60"/>
      <c r="B11" s="60" t="s">
        <v>45</v>
      </c>
      <c r="C11" s="60"/>
      <c r="D11" s="60"/>
      <c r="E11" s="60"/>
      <c r="F11" s="60"/>
      <c r="G11" s="60"/>
      <c r="H11" s="21">
        <f>+Regular!H119</f>
        <v>0</v>
      </c>
      <c r="I11" s="12"/>
      <c r="J11" s="21">
        <f>+Regular!J119</f>
        <v>0</v>
      </c>
      <c r="K11" s="60"/>
      <c r="L11" s="21">
        <f>+'Sheriffs and Deputies'!H119</f>
        <v>0</v>
      </c>
      <c r="M11" s="12"/>
      <c r="N11" s="21">
        <f>+'Sheriffs and Deputies'!J119</f>
        <v>0</v>
      </c>
      <c r="O11" s="60"/>
      <c r="P11" s="21">
        <f>+'Protection Occupation'!H119</f>
        <v>0</v>
      </c>
      <c r="Q11" s="12"/>
      <c r="R11" s="21">
        <f>+'Protection Occupation'!J119</f>
        <v>0</v>
      </c>
      <c r="S11" s="60"/>
      <c r="T11" s="21">
        <f t="shared" si="0"/>
        <v>0</v>
      </c>
      <c r="U11" s="12"/>
      <c r="V11" s="21">
        <f t="shared" si="1"/>
        <v>0</v>
      </c>
      <c r="W11" s="60"/>
      <c r="X11" s="220"/>
      <c r="Y11" s="56"/>
      <c r="Z11" s="56"/>
      <c r="AA11" s="56">
        <f>T11</f>
        <v>0</v>
      </c>
      <c r="AB11" s="219"/>
    </row>
    <row r="12" spans="1:28" x14ac:dyDescent="0.3">
      <c r="A12" s="60"/>
      <c r="B12" s="60" t="s">
        <v>127</v>
      </c>
      <c r="C12" s="60"/>
      <c r="D12" s="60"/>
      <c r="E12" s="60"/>
      <c r="F12" s="60"/>
      <c r="G12" s="60"/>
      <c r="H12" s="21">
        <f>+Regular!H120</f>
        <v>0</v>
      </c>
      <c r="I12" s="12"/>
      <c r="J12" s="21">
        <f>+Regular!J120</f>
        <v>0</v>
      </c>
      <c r="K12" s="60"/>
      <c r="L12" s="21">
        <f>+'Sheriffs and Deputies'!H120</f>
        <v>0</v>
      </c>
      <c r="M12" s="12"/>
      <c r="N12" s="21">
        <f>+'Sheriffs and Deputies'!J120</f>
        <v>0</v>
      </c>
      <c r="O12" s="60"/>
      <c r="P12" s="21">
        <f>+'Protection Occupation'!H120</f>
        <v>0</v>
      </c>
      <c r="Q12" s="12"/>
      <c r="R12" s="21">
        <f>+'Protection Occupation'!J120</f>
        <v>0</v>
      </c>
      <c r="S12" s="60"/>
      <c r="T12" s="21">
        <f t="shared" si="0"/>
        <v>0</v>
      </c>
      <c r="U12" s="12"/>
      <c r="V12" s="21">
        <f t="shared" si="1"/>
        <v>0</v>
      </c>
      <c r="W12" s="60"/>
      <c r="X12" s="220"/>
      <c r="Y12" s="56"/>
      <c r="Z12" s="56"/>
      <c r="AA12" s="56">
        <f>T12</f>
        <v>0</v>
      </c>
      <c r="AB12" s="219"/>
    </row>
    <row r="13" spans="1:28" x14ac:dyDescent="0.3">
      <c r="A13" s="60"/>
      <c r="B13" s="60" t="s">
        <v>128</v>
      </c>
      <c r="C13" s="60"/>
      <c r="D13" s="60"/>
      <c r="E13" s="60"/>
      <c r="F13" s="60"/>
      <c r="G13" s="60"/>
      <c r="H13" s="21">
        <f>+Regular!H121</f>
        <v>0</v>
      </c>
      <c r="I13" s="12"/>
      <c r="J13" s="21">
        <f>+Regular!J121</f>
        <v>0</v>
      </c>
      <c r="K13" s="60"/>
      <c r="L13" s="21">
        <f>+'Sheriffs and Deputies'!H121</f>
        <v>0</v>
      </c>
      <c r="M13" s="12"/>
      <c r="N13" s="21">
        <f>+'Sheriffs and Deputies'!J121</f>
        <v>0</v>
      </c>
      <c r="O13" s="60"/>
      <c r="P13" s="21">
        <f>+'Protection Occupation'!H121</f>
        <v>0</v>
      </c>
      <c r="Q13" s="12"/>
      <c r="R13" s="21">
        <f>+'Protection Occupation'!J121</f>
        <v>0</v>
      </c>
      <c r="S13" s="60"/>
      <c r="T13" s="21">
        <f t="shared" si="0"/>
        <v>0</v>
      </c>
      <c r="U13" s="12"/>
      <c r="V13" s="21">
        <f t="shared" si="1"/>
        <v>0</v>
      </c>
      <c r="W13" s="60"/>
      <c r="X13" s="220"/>
      <c r="Y13" s="56"/>
      <c r="Z13" s="56"/>
      <c r="AA13" s="56">
        <f>T13</f>
        <v>0</v>
      </c>
      <c r="AB13" s="219"/>
    </row>
    <row r="14" spans="1:28" x14ac:dyDescent="0.3">
      <c r="A14" s="60" t="s">
        <v>86</v>
      </c>
      <c r="B14" s="60"/>
      <c r="C14" s="60"/>
      <c r="D14" s="60"/>
      <c r="E14" s="60"/>
      <c r="F14" s="60"/>
      <c r="G14" s="60"/>
      <c r="H14" s="21"/>
      <c r="I14" s="12"/>
      <c r="J14" s="21"/>
      <c r="K14" s="60"/>
      <c r="L14" s="21"/>
      <c r="M14" s="12"/>
      <c r="N14" s="21"/>
      <c r="O14" s="60"/>
      <c r="P14" s="21"/>
      <c r="Q14" s="12"/>
      <c r="R14" s="21"/>
      <c r="S14" s="60"/>
      <c r="T14" s="21">
        <f t="shared" si="0"/>
        <v>0</v>
      </c>
      <c r="U14" s="12"/>
      <c r="V14" s="21">
        <f t="shared" si="1"/>
        <v>0</v>
      </c>
      <c r="W14" s="60"/>
      <c r="X14" s="220"/>
      <c r="Y14" s="56"/>
      <c r="Z14" s="56"/>
      <c r="AA14" s="56"/>
      <c r="AB14" s="219"/>
    </row>
    <row r="15" spans="1:28" x14ac:dyDescent="0.3">
      <c r="A15" s="60"/>
      <c r="B15" s="60" t="s">
        <v>122</v>
      </c>
      <c r="C15" s="60"/>
      <c r="D15" s="60"/>
      <c r="E15" s="60"/>
      <c r="F15" s="60"/>
      <c r="G15" s="60"/>
      <c r="H15" s="21">
        <f>+Regular!H123</f>
        <v>0</v>
      </c>
      <c r="I15" s="12"/>
      <c r="J15" s="21">
        <f>+Regular!O41</f>
        <v>0</v>
      </c>
      <c r="K15" s="60"/>
      <c r="L15" s="21">
        <f>+'Sheriffs and Deputies'!H123</f>
        <v>0</v>
      </c>
      <c r="M15" s="12"/>
      <c r="N15" s="21">
        <f>+'Sheriffs and Deputies'!O41</f>
        <v>0</v>
      </c>
      <c r="O15" s="60"/>
      <c r="P15" s="21">
        <v>0</v>
      </c>
      <c r="Q15" s="12"/>
      <c r="R15" s="21">
        <f>+'Protection Occupation'!O41</f>
        <v>0</v>
      </c>
      <c r="S15" s="60"/>
      <c r="T15" s="21">
        <f t="shared" si="0"/>
        <v>0</v>
      </c>
      <c r="U15" s="12"/>
      <c r="V15" s="21">
        <f t="shared" si="1"/>
        <v>0</v>
      </c>
      <c r="W15" s="60"/>
      <c r="X15" s="220"/>
      <c r="Y15" s="56">
        <f>V15</f>
        <v>0</v>
      </c>
      <c r="Z15" s="56"/>
      <c r="AA15" s="56"/>
      <c r="AB15" s="219"/>
    </row>
    <row r="16" spans="1:28" x14ac:dyDescent="0.3">
      <c r="A16" s="60"/>
      <c r="B16" s="60" t="s">
        <v>130</v>
      </c>
      <c r="C16" s="60"/>
      <c r="D16" s="60"/>
      <c r="E16" s="60"/>
      <c r="F16" s="60"/>
      <c r="G16" s="60"/>
      <c r="H16" s="21"/>
      <c r="I16" s="12"/>
      <c r="J16" s="21">
        <f>+Regular!O42</f>
        <v>0</v>
      </c>
      <c r="K16" s="60"/>
      <c r="L16" s="21"/>
      <c r="M16" s="12"/>
      <c r="N16" s="21">
        <f>+'Sheriffs and Deputies'!O42</f>
        <v>0</v>
      </c>
      <c r="O16" s="60"/>
      <c r="P16" s="21"/>
      <c r="Q16" s="12"/>
      <c r="R16" s="21">
        <f>+'Protection Occupation'!O42</f>
        <v>0</v>
      </c>
      <c r="S16" s="60"/>
      <c r="T16" s="21">
        <f t="shared" si="0"/>
        <v>0</v>
      </c>
      <c r="U16" s="12"/>
      <c r="V16" s="21">
        <f t="shared" si="1"/>
        <v>0</v>
      </c>
      <c r="W16" s="60"/>
      <c r="X16" s="220"/>
      <c r="Y16" s="56">
        <f>V16</f>
        <v>0</v>
      </c>
      <c r="Z16" s="56"/>
      <c r="AA16" s="56"/>
      <c r="AB16" s="219"/>
    </row>
    <row r="17" spans="1:28" x14ac:dyDescent="0.3">
      <c r="A17" s="60"/>
      <c r="B17" s="60" t="s">
        <v>182</v>
      </c>
      <c r="C17" s="60"/>
      <c r="D17" s="60"/>
      <c r="E17" s="60"/>
      <c r="F17" s="60"/>
      <c r="G17" s="60"/>
      <c r="H17" s="21">
        <v>0</v>
      </c>
      <c r="I17" s="12"/>
      <c r="J17" s="21">
        <f>+Regular!O43</f>
        <v>0</v>
      </c>
      <c r="K17" s="60"/>
      <c r="L17" s="21">
        <v>0</v>
      </c>
      <c r="M17" s="12"/>
      <c r="N17" s="21">
        <f>+'Sheriffs and Deputies'!O43</f>
        <v>0</v>
      </c>
      <c r="O17" s="60"/>
      <c r="P17" s="21">
        <f>+'Protection Occupation'!H126</f>
        <v>0</v>
      </c>
      <c r="Q17" s="12"/>
      <c r="R17" s="21">
        <f>+'Protection Occupation'!O43</f>
        <v>0</v>
      </c>
      <c r="S17" s="60"/>
      <c r="T17" s="21">
        <f t="shared" si="0"/>
        <v>0</v>
      </c>
      <c r="U17" s="12"/>
      <c r="V17" s="21">
        <f t="shared" si="1"/>
        <v>0</v>
      </c>
      <c r="W17" s="60"/>
      <c r="X17" s="220"/>
      <c r="Y17" s="56">
        <f>V17</f>
        <v>0</v>
      </c>
      <c r="Z17" s="56"/>
      <c r="AA17" s="56"/>
      <c r="AB17" s="219"/>
    </row>
    <row r="18" spans="1:28" s="60" customFormat="1" x14ac:dyDescent="0.3">
      <c r="B18" s="60" t="s">
        <v>132</v>
      </c>
      <c r="H18" s="21"/>
      <c r="I18" s="12"/>
      <c r="J18" s="21">
        <f>+Regular!J126</f>
        <v>0</v>
      </c>
      <c r="L18" s="21"/>
      <c r="M18" s="12"/>
      <c r="N18" s="21">
        <f>+'Sheriffs and Deputies'!J126</f>
        <v>0</v>
      </c>
      <c r="P18" s="21"/>
      <c r="Q18" s="12"/>
      <c r="R18" s="21">
        <f>+'Protection Occupation'!J126</f>
        <v>0</v>
      </c>
      <c r="T18" s="21"/>
      <c r="U18" s="12"/>
      <c r="V18" s="21">
        <f>+R18+N18+J18</f>
        <v>0</v>
      </c>
      <c r="X18" s="220"/>
      <c r="Y18" s="56">
        <f>V18</f>
        <v>0</v>
      </c>
      <c r="Z18" s="56"/>
      <c r="AA18" s="56"/>
      <c r="AB18" s="219"/>
    </row>
    <row r="19" spans="1:28" x14ac:dyDescent="0.3">
      <c r="A19" s="60" t="s">
        <v>133</v>
      </c>
      <c r="B19" s="60"/>
      <c r="C19" s="60"/>
      <c r="D19" s="60"/>
      <c r="E19" s="60"/>
      <c r="F19" s="60"/>
      <c r="G19" s="60"/>
      <c r="H19" s="21"/>
      <c r="I19" s="12"/>
      <c r="J19" s="21"/>
      <c r="K19" s="60"/>
      <c r="L19" s="21"/>
      <c r="M19" s="12"/>
      <c r="N19" s="21"/>
      <c r="O19" s="60"/>
      <c r="P19" s="21"/>
      <c r="Q19" s="12"/>
      <c r="R19" s="21"/>
      <c r="S19" s="60"/>
      <c r="T19" s="21">
        <f t="shared" si="0"/>
        <v>0</v>
      </c>
      <c r="U19" s="12"/>
      <c r="V19" s="21">
        <f t="shared" si="1"/>
        <v>0</v>
      </c>
      <c r="W19" s="60"/>
      <c r="X19" s="220"/>
      <c r="Y19" s="56"/>
      <c r="Z19" s="56"/>
      <c r="AA19" s="56"/>
      <c r="AB19" s="219"/>
    </row>
    <row r="20" spans="1:28" s="24" customFormat="1" x14ac:dyDescent="0.3">
      <c r="A20" s="62"/>
      <c r="B20" s="62" t="str">
        <f>+Regular!B128</f>
        <v xml:space="preserve"> - Entity contributions from 7/01/2023 through 6/30/2024</v>
      </c>
      <c r="C20" s="62"/>
      <c r="D20" s="62"/>
      <c r="E20" s="62"/>
      <c r="F20" s="62"/>
      <c r="G20" s="62"/>
      <c r="H20" s="57">
        <v>0</v>
      </c>
      <c r="I20" s="58"/>
      <c r="J20" s="57">
        <f>+Regular!J128</f>
        <v>0</v>
      </c>
      <c r="K20" s="62"/>
      <c r="L20" s="57">
        <f>+'Sheriffs and Deputies'!H123</f>
        <v>0</v>
      </c>
      <c r="M20" s="58"/>
      <c r="N20" s="57">
        <f>+'Sheriffs and Deputies'!J128</f>
        <v>0</v>
      </c>
      <c r="O20" s="62"/>
      <c r="P20" s="57">
        <f>+'Protection Occupation'!H129</f>
        <v>0</v>
      </c>
      <c r="Q20" s="58"/>
      <c r="R20" s="57">
        <f>+'Protection Occupation'!J128</f>
        <v>0</v>
      </c>
      <c r="S20" s="62"/>
      <c r="T20" s="57">
        <f t="shared" si="0"/>
        <v>0</v>
      </c>
      <c r="U20" s="58"/>
      <c r="V20" s="57">
        <f t="shared" si="1"/>
        <v>0</v>
      </c>
      <c r="W20" s="62"/>
      <c r="X20" s="220">
        <f>-V20</f>
        <v>0</v>
      </c>
      <c r="Y20" s="56"/>
      <c r="Z20" s="56"/>
      <c r="AA20" s="56"/>
      <c r="AB20" s="219"/>
    </row>
    <row r="21" spans="1:28" s="24" customFormat="1" x14ac:dyDescent="0.3">
      <c r="A21" s="62" t="s">
        <v>7</v>
      </c>
      <c r="B21" s="62"/>
      <c r="C21" s="62"/>
      <c r="D21" s="62"/>
      <c r="E21" s="62"/>
      <c r="F21" s="62"/>
      <c r="G21" s="62"/>
      <c r="H21" s="57">
        <f>+Regular!H129</f>
        <v>0</v>
      </c>
      <c r="I21" s="58"/>
      <c r="J21" s="57">
        <f>+Regular!O45</f>
        <v>0</v>
      </c>
      <c r="K21" s="62"/>
      <c r="L21" s="57">
        <f>+'Sheriffs and Deputies'!N45</f>
        <v>0</v>
      </c>
      <c r="M21" s="58"/>
      <c r="N21" s="57">
        <f>+'Sheriffs and Deputies'!O45</f>
        <v>0</v>
      </c>
      <c r="O21" s="62"/>
      <c r="P21" s="57">
        <f>+'Protection Occupation'!H134</f>
        <v>0</v>
      </c>
      <c r="Q21" s="58"/>
      <c r="R21" s="57">
        <f>+'Protection Occupation'!O45</f>
        <v>0</v>
      </c>
      <c r="S21" s="62"/>
      <c r="T21" s="57">
        <f t="shared" si="0"/>
        <v>0</v>
      </c>
      <c r="U21" s="58"/>
      <c r="V21" s="57">
        <f t="shared" si="1"/>
        <v>0</v>
      </c>
      <c r="W21" s="62"/>
      <c r="X21" s="220"/>
      <c r="Y21" s="56"/>
      <c r="Z21" s="56">
        <f>V21</f>
        <v>0</v>
      </c>
      <c r="AA21" s="56"/>
      <c r="AB21" s="219"/>
    </row>
    <row r="22" spans="1:28" x14ac:dyDescent="0.3">
      <c r="A22" s="60"/>
      <c r="B22" s="60"/>
      <c r="C22" s="60"/>
      <c r="D22" s="60"/>
      <c r="E22" s="60"/>
      <c r="F22" s="60"/>
      <c r="G22" s="60"/>
      <c r="H22" s="21"/>
      <c r="I22" s="12"/>
      <c r="J22" s="21"/>
      <c r="K22" s="60"/>
      <c r="L22" s="21"/>
      <c r="M22" s="12"/>
      <c r="N22" s="21"/>
      <c r="O22" s="60"/>
      <c r="P22" s="21"/>
      <c r="Q22" s="12"/>
      <c r="R22" s="21"/>
      <c r="S22" s="60"/>
      <c r="T22" s="21">
        <f t="shared" si="0"/>
        <v>0</v>
      </c>
      <c r="U22" s="12"/>
      <c r="V22" s="21">
        <f t="shared" si="1"/>
        <v>0</v>
      </c>
      <c r="W22" s="60"/>
      <c r="X22" s="220"/>
      <c r="Y22" s="56"/>
      <c r="Z22" s="56"/>
      <c r="AA22" s="56"/>
      <c r="AB22" s="219"/>
    </row>
    <row r="23" spans="1:28" x14ac:dyDescent="0.3">
      <c r="A23" s="60" t="s">
        <v>183</v>
      </c>
      <c r="B23" s="60"/>
      <c r="C23" s="60"/>
      <c r="D23" s="60"/>
      <c r="E23" s="60"/>
      <c r="F23" s="60"/>
      <c r="G23" s="60"/>
      <c r="H23" s="21">
        <f>+Regular!H130</f>
        <v>0</v>
      </c>
      <c r="I23" s="12"/>
      <c r="J23" s="21">
        <f>+Regular!J130</f>
        <v>0</v>
      </c>
      <c r="K23" s="60"/>
      <c r="L23" s="21">
        <f>+'Sheriffs and Deputies'!H130</f>
        <v>0</v>
      </c>
      <c r="M23" s="12"/>
      <c r="N23" s="21">
        <f>+'Sheriffs and Deputies'!J130</f>
        <v>0</v>
      </c>
      <c r="O23" s="60"/>
      <c r="P23" s="21">
        <f>+'Protection Occupation'!H130</f>
        <v>0</v>
      </c>
      <c r="Q23" s="12"/>
      <c r="R23" s="21">
        <f>+'Protection Occupation'!J130</f>
        <v>0</v>
      </c>
      <c r="S23" s="60"/>
      <c r="T23" s="21">
        <f t="shared" si="0"/>
        <v>0</v>
      </c>
      <c r="U23" s="12"/>
      <c r="V23" s="21">
        <f t="shared" si="1"/>
        <v>0</v>
      </c>
      <c r="W23" s="60"/>
      <c r="X23" s="220">
        <f>-V23</f>
        <v>0</v>
      </c>
      <c r="Y23" s="56">
        <f>-T23</f>
        <v>0</v>
      </c>
      <c r="Z23" s="56"/>
      <c r="AA23" s="56">
        <f>T24</f>
        <v>0</v>
      </c>
      <c r="AB23" s="219"/>
    </row>
    <row r="24" spans="1:28" x14ac:dyDescent="0.3">
      <c r="A24" s="60"/>
      <c r="B24" s="60" t="s">
        <v>184</v>
      </c>
      <c r="C24" s="60"/>
      <c r="D24" s="60"/>
      <c r="E24" s="60"/>
      <c r="F24" s="60"/>
      <c r="G24" s="60"/>
      <c r="H24" s="21">
        <f>+J23</f>
        <v>0</v>
      </c>
      <c r="I24" s="12"/>
      <c r="J24" s="21">
        <f>+H23</f>
        <v>0</v>
      </c>
      <c r="K24" s="60"/>
      <c r="L24" s="21">
        <f>+N23</f>
        <v>0</v>
      </c>
      <c r="M24" s="12"/>
      <c r="N24" s="21">
        <f>+L23</f>
        <v>0</v>
      </c>
      <c r="O24" s="60"/>
      <c r="P24" s="21">
        <f>+R23</f>
        <v>0</v>
      </c>
      <c r="Q24" s="12"/>
      <c r="R24" s="21">
        <f>+P23</f>
        <v>0</v>
      </c>
      <c r="S24" s="60"/>
      <c r="T24" s="21">
        <f t="shared" si="0"/>
        <v>0</v>
      </c>
      <c r="U24" s="12"/>
      <c r="V24" s="21">
        <f t="shared" si="1"/>
        <v>0</v>
      </c>
      <c r="W24" s="60"/>
      <c r="X24" s="220"/>
      <c r="Y24" s="56"/>
      <c r="Z24" s="56"/>
      <c r="AA24" s="56">
        <f>-V24</f>
        <v>0</v>
      </c>
      <c r="AB24" s="219"/>
    </row>
    <row r="25" spans="1:28" x14ac:dyDescent="0.3">
      <c r="A25" s="60"/>
      <c r="B25" s="60"/>
      <c r="C25" s="60"/>
      <c r="D25" s="60"/>
      <c r="E25" s="60"/>
      <c r="F25" s="60"/>
      <c r="G25" s="60"/>
      <c r="H25" s="21"/>
      <c r="I25" s="12"/>
      <c r="J25" s="21"/>
      <c r="K25" s="60"/>
      <c r="L25" s="21"/>
      <c r="M25" s="12"/>
      <c r="N25" s="21"/>
      <c r="O25" s="60"/>
      <c r="P25" s="21"/>
      <c r="Q25" s="12"/>
      <c r="R25" s="21"/>
      <c r="S25" s="60"/>
      <c r="T25" s="21">
        <f t="shared" si="0"/>
        <v>0</v>
      </c>
      <c r="U25" s="12"/>
      <c r="V25" s="21">
        <f t="shared" si="1"/>
        <v>0</v>
      </c>
      <c r="W25" s="60"/>
      <c r="X25" s="220"/>
      <c r="Y25" s="56"/>
      <c r="Z25" s="56"/>
      <c r="AA25" s="56"/>
      <c r="AB25" s="219"/>
    </row>
    <row r="26" spans="1:28" x14ac:dyDescent="0.3">
      <c r="A26" s="60"/>
      <c r="B26" s="60"/>
      <c r="C26" s="60"/>
      <c r="D26" s="60"/>
      <c r="E26" s="60"/>
      <c r="F26" s="60"/>
      <c r="G26" s="60"/>
      <c r="H26" s="60"/>
      <c r="I26" s="12"/>
      <c r="J26" s="21"/>
      <c r="K26" s="60"/>
      <c r="L26" s="60"/>
      <c r="M26" s="12"/>
      <c r="N26" s="21"/>
      <c r="O26" s="60"/>
      <c r="P26" s="60"/>
      <c r="Q26" s="12"/>
      <c r="R26" s="21"/>
      <c r="S26" s="60"/>
      <c r="T26" s="60"/>
      <c r="U26" s="12"/>
      <c r="V26" s="21"/>
      <c r="W26" s="60"/>
      <c r="X26" s="220"/>
      <c r="Y26" s="56"/>
      <c r="Z26" s="56"/>
      <c r="AA26" s="56"/>
      <c r="AB26" s="219"/>
    </row>
    <row r="27" spans="1:28" ht="15" thickBot="1" x14ac:dyDescent="0.35">
      <c r="A27" s="60"/>
      <c r="B27" s="60"/>
      <c r="C27" s="60"/>
      <c r="D27" s="60"/>
      <c r="E27" s="60" t="s">
        <v>13</v>
      </c>
      <c r="F27" s="60"/>
      <c r="G27" s="60"/>
      <c r="H27" s="17">
        <f>SUM(H6:H26)</f>
        <v>0</v>
      </c>
      <c r="I27" s="16"/>
      <c r="J27" s="17">
        <f>SUM(J6:J26)</f>
        <v>0</v>
      </c>
      <c r="K27" s="60"/>
      <c r="L27" s="17">
        <f>SUM(L6:L26)</f>
        <v>0</v>
      </c>
      <c r="M27" s="16"/>
      <c r="N27" s="17">
        <f>SUM(N6:N26)</f>
        <v>0</v>
      </c>
      <c r="O27" s="60"/>
      <c r="P27" s="17">
        <f>SUM(P6:P26)</f>
        <v>0</v>
      </c>
      <c r="Q27" s="16"/>
      <c r="R27" s="17">
        <f>SUM(R6:R26)</f>
        <v>0</v>
      </c>
      <c r="S27" s="60"/>
      <c r="T27" s="17">
        <f>SUM(T6:T26)</f>
        <v>0</v>
      </c>
      <c r="U27" s="16"/>
      <c r="V27" s="17">
        <f>SUM(V6:V26)</f>
        <v>0</v>
      </c>
      <c r="W27" s="60"/>
      <c r="X27" s="221">
        <f>SUM(X6:X26)</f>
        <v>0</v>
      </c>
      <c r="Y27" s="222">
        <f>SUM(Y6:Y26)</f>
        <v>0</v>
      </c>
      <c r="Z27" s="223">
        <f>SUM(Z6:Z26)</f>
        <v>0</v>
      </c>
      <c r="AA27" s="224">
        <f>SUM(AA6:AA26)</f>
        <v>0</v>
      </c>
      <c r="AB27" s="219"/>
    </row>
    <row r="28" spans="1:28" ht="15" thickTop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220">
        <f>SUM(T6:T9)-SUM(V20,V23)-X27</f>
        <v>0</v>
      </c>
      <c r="Y28" s="25">
        <f>SUM(V15:V18)-T23-Y27</f>
        <v>0</v>
      </c>
      <c r="Z28" s="25">
        <f>V21-Z27</f>
        <v>0</v>
      </c>
      <c r="AA28" s="25">
        <f>SUM(T11:T13,T24)-V24-AA27</f>
        <v>0</v>
      </c>
      <c r="AB28" s="219"/>
    </row>
    <row r="29" spans="1:28" ht="15" thickBot="1" x14ac:dyDescent="0.35">
      <c r="A29" s="60"/>
      <c r="B29" s="60"/>
      <c r="C29" s="60"/>
      <c r="D29" s="60"/>
      <c r="E29" s="60"/>
      <c r="F29" s="60"/>
      <c r="G29" s="60" t="s">
        <v>139</v>
      </c>
      <c r="H29" s="60"/>
      <c r="I29" s="60"/>
      <c r="J29" s="18">
        <f>H27-J27</f>
        <v>0</v>
      </c>
      <c r="K29" s="60"/>
      <c r="L29" s="60"/>
      <c r="M29" s="60"/>
      <c r="N29" s="18">
        <f>L27-N27</f>
        <v>0</v>
      </c>
      <c r="O29" s="60"/>
      <c r="P29" s="60"/>
      <c r="Q29" s="60"/>
      <c r="R29" s="18">
        <f>P27-R27</f>
        <v>0</v>
      </c>
      <c r="S29" s="60"/>
      <c r="T29" s="60"/>
      <c r="U29" s="60"/>
      <c r="V29" s="18">
        <f>T27-V27</f>
        <v>0</v>
      </c>
      <c r="W29" s="60"/>
      <c r="X29" s="218"/>
      <c r="Y29" s="60" t="s">
        <v>185</v>
      </c>
      <c r="AA29" s="232"/>
      <c r="AB29" s="219"/>
    </row>
    <row r="30" spans="1:28" ht="15" thickTop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218"/>
      <c r="Z30" s="245" t="s">
        <v>120</v>
      </c>
      <c r="AA30" s="245" t="s">
        <v>121</v>
      </c>
      <c r="AB30" s="219"/>
    </row>
    <row r="31" spans="1:28" x14ac:dyDescent="0.3">
      <c r="A31" s="60"/>
      <c r="B31" s="69" t="str">
        <f>+Regular!B136</f>
        <v>To record pension accrual amounts for the year ended June 30, 2025</v>
      </c>
      <c r="C31" s="62"/>
      <c r="D31" s="62"/>
      <c r="E31" s="62"/>
      <c r="F31" s="62"/>
      <c r="G31" s="62"/>
      <c r="H31" s="62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225" t="s">
        <v>79</v>
      </c>
      <c r="Z31" s="226">
        <f>IF(X27&gt;0,X27,0)</f>
        <v>0</v>
      </c>
      <c r="AA31" s="226">
        <f>IF(X27&lt;0,-X27,0)</f>
        <v>0</v>
      </c>
      <c r="AB31" s="219"/>
    </row>
    <row r="32" spans="1:28" x14ac:dyDescent="0.3">
      <c r="A32" s="60"/>
      <c r="B32" s="69" t="str">
        <f>+Regular!B137</f>
        <v>based on the June 30, 2024 measurement date.</v>
      </c>
      <c r="C32" s="62"/>
      <c r="D32" s="62"/>
      <c r="E32" s="62"/>
      <c r="F32" s="62"/>
      <c r="G32" s="62"/>
      <c r="H32" s="62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225" t="s">
        <v>86</v>
      </c>
      <c r="Z32" s="222">
        <f>IF(Y27&lt;0,-Y27,0)</f>
        <v>0</v>
      </c>
      <c r="AA32" s="222">
        <f>IF(Y27&gt;0,Y27,0)</f>
        <v>0</v>
      </c>
      <c r="AB32" s="219"/>
    </row>
    <row r="33" spans="1:30" x14ac:dyDescent="0.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225" t="s">
        <v>7</v>
      </c>
      <c r="Z33" s="223">
        <f>IF(Z27&lt;0,-Z27,0)</f>
        <v>0</v>
      </c>
      <c r="AA33" s="223">
        <f>IF(Z27&gt;0,Z27,0)</f>
        <v>0</v>
      </c>
      <c r="AB33" s="219"/>
      <c r="AC33" s="60"/>
      <c r="AD33" s="60"/>
    </row>
    <row r="34" spans="1:30" x14ac:dyDescent="0.3">
      <c r="A34" s="60" t="s">
        <v>186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225" t="s">
        <v>187</v>
      </c>
      <c r="Y34" s="227"/>
      <c r="Z34" s="224">
        <f>IF(AA27&gt;0,AA27,0)</f>
        <v>0</v>
      </c>
      <c r="AA34" s="224">
        <f>IF(AA27&lt;0,-AA27,0)</f>
        <v>0</v>
      </c>
      <c r="AB34" s="219"/>
      <c r="AC34" s="60"/>
      <c r="AD34" s="60"/>
    </row>
    <row r="35" spans="1:30" ht="15" thickBot="1" x14ac:dyDescent="0.35">
      <c r="A35" s="60"/>
      <c r="B35" s="62" t="s">
        <v>297</v>
      </c>
      <c r="C35" s="62"/>
      <c r="D35" s="62"/>
      <c r="E35" s="62"/>
      <c r="F35" s="62"/>
      <c r="G35" s="62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218"/>
      <c r="Z35" s="228">
        <f>SUM(Z31:Z34)</f>
        <v>0</v>
      </c>
      <c r="AA35" s="228">
        <f>SUM(AA31:AA34)</f>
        <v>0</v>
      </c>
      <c r="AB35" s="219"/>
      <c r="AC35" s="47"/>
      <c r="AD35" s="47"/>
    </row>
    <row r="36" spans="1:30" ht="15" thickTop="1" x14ac:dyDescent="0.3">
      <c r="A36" s="60"/>
      <c r="B36" s="62"/>
      <c r="C36" s="62"/>
      <c r="D36" s="62"/>
      <c r="E36" s="62"/>
      <c r="F36" s="62"/>
      <c r="G36" s="62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218"/>
      <c r="Z36" s="56"/>
      <c r="AA36" s="56">
        <f>Z35-AA35</f>
        <v>0</v>
      </c>
      <c r="AB36" s="219"/>
      <c r="AC36" s="47"/>
      <c r="AD36" s="47"/>
    </row>
    <row r="37" spans="1:30" x14ac:dyDescent="0.3">
      <c r="A37" s="6" t="s">
        <v>298</v>
      </c>
      <c r="B37" s="62"/>
      <c r="C37" s="62"/>
      <c r="D37" s="62"/>
      <c r="E37" s="62"/>
      <c r="F37" s="62"/>
      <c r="G37" s="62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14" t="s">
        <v>188</v>
      </c>
      <c r="X37" s="218"/>
      <c r="AB37" s="219"/>
      <c r="AC37" s="47"/>
      <c r="AD37" s="47"/>
    </row>
    <row r="38" spans="1:30" x14ac:dyDescent="0.3">
      <c r="A38" s="60"/>
      <c r="B38" s="232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245" t="s">
        <v>189</v>
      </c>
      <c r="X38" s="225" t="s">
        <v>79</v>
      </c>
      <c r="Z38" s="56">
        <f t="shared" ref="Z38" si="2">ROUND(Z31,0)</f>
        <v>0</v>
      </c>
      <c r="AA38" s="56">
        <f>ROUND(AA31,0)</f>
        <v>0</v>
      </c>
      <c r="AB38" s="219"/>
      <c r="AC38" s="47"/>
      <c r="AD38" s="47"/>
    </row>
    <row r="39" spans="1:30" x14ac:dyDescent="0.3">
      <c r="A39" s="60"/>
      <c r="B39" s="60" t="s">
        <v>190</v>
      </c>
      <c r="C39" s="60"/>
      <c r="D39" s="60"/>
      <c r="E39" s="60"/>
      <c r="F39" s="60"/>
      <c r="G39" s="232"/>
      <c r="H39" s="233"/>
      <c r="I39" s="1"/>
      <c r="J39" s="240" t="s">
        <v>191</v>
      </c>
      <c r="K39" s="1"/>
      <c r="L39" s="1"/>
      <c r="M39" s="1"/>
      <c r="N39" s="1"/>
      <c r="O39" s="1"/>
      <c r="P39" s="1"/>
      <c r="Q39" s="1"/>
      <c r="R39" s="1"/>
      <c r="S39" s="1"/>
      <c r="T39" s="81"/>
      <c r="U39" s="60"/>
      <c r="V39" s="60"/>
      <c r="W39" s="60"/>
      <c r="X39" s="225" t="s">
        <v>86</v>
      </c>
      <c r="Z39" s="56">
        <f>ROUND(Z32,0)</f>
        <v>0</v>
      </c>
      <c r="AA39" s="56">
        <f>ROUND(AA32,0)</f>
        <v>0</v>
      </c>
      <c r="AB39" s="219"/>
      <c r="AC39" s="47"/>
      <c r="AD39" s="47"/>
    </row>
    <row r="40" spans="1:30" x14ac:dyDescent="0.3">
      <c r="A40" s="60"/>
      <c r="B40" s="60"/>
      <c r="C40" s="60"/>
      <c r="D40" s="60"/>
      <c r="E40" s="60"/>
      <c r="F40" s="60"/>
      <c r="G40" s="6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60"/>
      <c r="T40" s="60"/>
      <c r="U40" s="60"/>
      <c r="V40" s="60"/>
      <c r="W40" s="60"/>
      <c r="X40" s="225" t="s">
        <v>7</v>
      </c>
      <c r="Z40" s="56">
        <f>ROUND(Z33,0)</f>
        <v>0</v>
      </c>
      <c r="AA40" s="56">
        <f>ROUND(AA33,0)</f>
        <v>0</v>
      </c>
      <c r="AB40" s="219"/>
      <c r="AC40" s="47"/>
      <c r="AD40" s="47"/>
    </row>
    <row r="41" spans="1:30" x14ac:dyDescent="0.3">
      <c r="A41" s="60"/>
      <c r="B41" s="60" t="s">
        <v>192</v>
      </c>
      <c r="C41" s="23" t="s">
        <v>193</v>
      </c>
      <c r="D41" s="60"/>
      <c r="E41" s="60"/>
      <c r="F41" s="60"/>
      <c r="G41" s="60"/>
      <c r="H41" s="21"/>
      <c r="I41" s="21"/>
      <c r="J41" s="23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60"/>
      <c r="W41" s="266" t="e">
        <f>+J41/H$39</f>
        <v>#DIV/0!</v>
      </c>
      <c r="X41" s="218" t="s">
        <v>192</v>
      </c>
      <c r="Y41" s="1"/>
      <c r="Z41" s="56" t="e">
        <f>ROUND(W41*Z$34,0)</f>
        <v>#DIV/0!</v>
      </c>
      <c r="AA41" s="56" t="e">
        <f>ROUND(W41*AA$34,0)</f>
        <v>#DIV/0!</v>
      </c>
      <c r="AB41" s="219"/>
      <c r="AC41" s="235"/>
      <c r="AD41" s="47"/>
    </row>
    <row r="42" spans="1:30" x14ac:dyDescent="0.3">
      <c r="A42" s="60"/>
      <c r="B42" s="60" t="s">
        <v>194</v>
      </c>
      <c r="C42" s="23" t="s">
        <v>193</v>
      </c>
      <c r="D42" s="60"/>
      <c r="E42" s="60"/>
      <c r="F42" s="60"/>
      <c r="G42" s="60"/>
      <c r="H42" s="21"/>
      <c r="I42" s="21"/>
      <c r="J42" s="234"/>
      <c r="K42" s="21"/>
      <c r="L42" s="240" t="s">
        <v>287</v>
      </c>
      <c r="M42" s="21"/>
      <c r="N42" s="21"/>
      <c r="O42" s="21"/>
      <c r="P42" s="21"/>
      <c r="Q42" s="21"/>
      <c r="R42" s="21"/>
      <c r="S42" s="60"/>
      <c r="T42" s="60"/>
      <c r="U42" s="60"/>
      <c r="V42" s="60"/>
      <c r="W42" s="266" t="e">
        <f>+J42/H$39</f>
        <v>#DIV/0!</v>
      </c>
      <c r="X42" s="218" t="s">
        <v>194</v>
      </c>
      <c r="Y42" s="1"/>
      <c r="Z42" s="56" t="e">
        <f t="shared" ref="Z42:Z47" si="3">ROUND(W42*Z$34,0)</f>
        <v>#DIV/0!</v>
      </c>
      <c r="AA42" s="56" t="e">
        <f t="shared" ref="AA42:AA47" si="4">ROUND(W42*AA$34,0)</f>
        <v>#DIV/0!</v>
      </c>
      <c r="AB42" s="219"/>
      <c r="AC42" s="235"/>
      <c r="AD42" s="47"/>
    </row>
    <row r="43" spans="1:30" x14ac:dyDescent="0.3">
      <c r="A43" s="60"/>
      <c r="B43" s="60" t="s">
        <v>195</v>
      </c>
      <c r="C43" s="23" t="s">
        <v>193</v>
      </c>
      <c r="D43" s="60"/>
      <c r="E43" s="60"/>
      <c r="F43" s="60"/>
      <c r="G43" s="60"/>
      <c r="H43" s="21"/>
      <c r="I43" s="21"/>
      <c r="J43" s="234"/>
      <c r="K43" s="21"/>
      <c r="L43" s="241" t="s">
        <v>288</v>
      </c>
      <c r="M43" s="21"/>
      <c r="N43" s="21"/>
      <c r="O43" s="21"/>
      <c r="P43" s="21"/>
      <c r="Q43" s="21"/>
      <c r="R43" s="21"/>
      <c r="S43" s="60"/>
      <c r="T43" s="60"/>
      <c r="U43" s="60"/>
      <c r="V43" s="60"/>
      <c r="W43" s="266" t="e">
        <f t="shared" ref="W43:W47" si="5">+J43/H$39</f>
        <v>#DIV/0!</v>
      </c>
      <c r="X43" s="218" t="s">
        <v>195</v>
      </c>
      <c r="Y43" s="9"/>
      <c r="Z43" s="56" t="e">
        <f t="shared" si="3"/>
        <v>#DIV/0!</v>
      </c>
      <c r="AA43" s="56" t="e">
        <f t="shared" si="4"/>
        <v>#DIV/0!</v>
      </c>
      <c r="AB43" s="219"/>
      <c r="AC43" s="235"/>
      <c r="AD43" s="47"/>
    </row>
    <row r="44" spans="1:30" x14ac:dyDescent="0.3">
      <c r="A44" s="60"/>
      <c r="B44" s="60" t="s">
        <v>196</v>
      </c>
      <c r="C44" s="23" t="s">
        <v>193</v>
      </c>
      <c r="D44" s="60"/>
      <c r="E44" s="60"/>
      <c r="F44" s="60"/>
      <c r="G44" s="60"/>
      <c r="H44" s="21"/>
      <c r="I44" s="21"/>
      <c r="J44" s="234"/>
      <c r="K44" s="21"/>
      <c r="L44" s="242" t="s">
        <v>289</v>
      </c>
      <c r="M44" s="21"/>
      <c r="N44" s="21"/>
      <c r="O44" s="21"/>
      <c r="P44" s="21"/>
      <c r="Q44" s="21"/>
      <c r="R44" s="1"/>
      <c r="S44" s="60"/>
      <c r="T44" s="60"/>
      <c r="U44" s="60"/>
      <c r="V44" s="60"/>
      <c r="W44" s="266" t="e">
        <f t="shared" si="5"/>
        <v>#DIV/0!</v>
      </c>
      <c r="X44" s="218" t="s">
        <v>196</v>
      </c>
      <c r="Y44" s="9"/>
      <c r="Z44" s="56" t="e">
        <f t="shared" si="3"/>
        <v>#DIV/0!</v>
      </c>
      <c r="AA44" s="56" t="e">
        <f t="shared" si="4"/>
        <v>#DIV/0!</v>
      </c>
      <c r="AB44" s="219"/>
      <c r="AC44" s="235"/>
      <c r="AD44" s="47"/>
    </row>
    <row r="45" spans="1:30" x14ac:dyDescent="0.3">
      <c r="A45" s="60"/>
      <c r="B45" s="62" t="s">
        <v>197</v>
      </c>
      <c r="C45" s="23" t="s">
        <v>193</v>
      </c>
      <c r="D45" s="60"/>
      <c r="E45" s="60"/>
      <c r="F45" s="60"/>
      <c r="G45" s="60"/>
      <c r="H45" s="21"/>
      <c r="I45" s="21"/>
      <c r="J45" s="234"/>
      <c r="K45" s="21"/>
      <c r="L45" s="21"/>
      <c r="M45" s="21"/>
      <c r="N45" s="21"/>
      <c r="O45" s="21"/>
      <c r="P45" s="21"/>
      <c r="Q45" s="21"/>
      <c r="R45" s="21"/>
      <c r="S45" s="60"/>
      <c r="T45" s="60"/>
      <c r="U45" s="60"/>
      <c r="V45" s="60"/>
      <c r="W45" s="266" t="e">
        <f t="shared" si="5"/>
        <v>#DIV/0!</v>
      </c>
      <c r="X45" s="218" t="s">
        <v>197</v>
      </c>
      <c r="Y45" s="9"/>
      <c r="Z45" s="56" t="e">
        <f t="shared" si="3"/>
        <v>#DIV/0!</v>
      </c>
      <c r="AA45" s="56" t="e">
        <f t="shared" si="4"/>
        <v>#DIV/0!</v>
      </c>
      <c r="AB45" s="219"/>
      <c r="AC45" s="235"/>
      <c r="AD45" s="47"/>
    </row>
    <row r="46" spans="1:30" x14ac:dyDescent="0.3">
      <c r="A46" s="60"/>
      <c r="B46" s="60" t="s">
        <v>198</v>
      </c>
      <c r="C46" s="23" t="s">
        <v>193</v>
      </c>
      <c r="D46" s="60"/>
      <c r="E46" s="60"/>
      <c r="F46" s="60"/>
      <c r="G46" s="60"/>
      <c r="H46" s="21"/>
      <c r="I46" s="21"/>
      <c r="J46" s="234"/>
      <c r="K46" s="21"/>
      <c r="L46" s="21"/>
      <c r="M46" s="21"/>
      <c r="N46" s="21"/>
      <c r="O46" s="21"/>
      <c r="P46" s="21"/>
      <c r="Q46" s="21"/>
      <c r="R46" s="21"/>
      <c r="S46" s="60"/>
      <c r="T46" s="60"/>
      <c r="U46" s="60"/>
      <c r="V46" s="60"/>
      <c r="W46" s="266" t="e">
        <f t="shared" si="5"/>
        <v>#DIV/0!</v>
      </c>
      <c r="X46" s="218" t="s">
        <v>198</v>
      </c>
      <c r="Y46" s="9"/>
      <c r="Z46" s="56" t="e">
        <f t="shared" si="3"/>
        <v>#DIV/0!</v>
      </c>
      <c r="AA46" s="56" t="e">
        <f t="shared" si="4"/>
        <v>#DIV/0!</v>
      </c>
      <c r="AB46" s="219"/>
      <c r="AC46" s="235"/>
      <c r="AD46" s="47"/>
    </row>
    <row r="47" spans="1:30" x14ac:dyDescent="0.3">
      <c r="A47" s="60"/>
      <c r="B47" s="62" t="s">
        <v>199</v>
      </c>
      <c r="C47" s="23" t="s">
        <v>193</v>
      </c>
      <c r="D47" s="60"/>
      <c r="E47" s="60"/>
      <c r="F47" s="60"/>
      <c r="G47" s="60"/>
      <c r="H47" s="21"/>
      <c r="I47" s="21"/>
      <c r="J47" s="234"/>
      <c r="K47" s="21"/>
      <c r="L47" s="21"/>
      <c r="M47" s="21"/>
      <c r="N47" s="21"/>
      <c r="O47" s="21"/>
      <c r="P47" s="21"/>
      <c r="Q47" s="21"/>
      <c r="R47" s="21"/>
      <c r="S47" s="60"/>
      <c r="T47" s="60"/>
      <c r="U47" s="60"/>
      <c r="V47" s="60"/>
      <c r="W47" s="266" t="e">
        <f t="shared" si="5"/>
        <v>#DIV/0!</v>
      </c>
      <c r="X47" s="218" t="s">
        <v>199</v>
      </c>
      <c r="Y47" s="9"/>
      <c r="Z47" s="56" t="e">
        <f t="shared" si="3"/>
        <v>#DIV/0!</v>
      </c>
      <c r="AA47" s="56" t="e">
        <f t="shared" si="4"/>
        <v>#DIV/0!</v>
      </c>
      <c r="AB47" s="219"/>
      <c r="AC47" s="235"/>
      <c r="AD47" s="47"/>
    </row>
    <row r="48" spans="1:30" x14ac:dyDescent="0.3">
      <c r="A48" s="60"/>
      <c r="B48" s="60"/>
      <c r="C48" s="60"/>
      <c r="D48" s="60"/>
      <c r="E48" s="60"/>
      <c r="F48" s="60"/>
      <c r="G48" s="60"/>
      <c r="H48" s="8"/>
      <c r="I48" s="8"/>
      <c r="J48" s="8"/>
      <c r="K48" s="60"/>
      <c r="L48" s="8"/>
      <c r="M48" s="8"/>
      <c r="N48" s="8"/>
      <c r="O48" s="60"/>
      <c r="P48" s="8"/>
      <c r="Q48" s="8"/>
      <c r="R48" s="8"/>
      <c r="S48" s="60"/>
      <c r="T48" s="60"/>
      <c r="U48" s="60"/>
      <c r="V48" s="60"/>
      <c r="W48" s="60"/>
      <c r="X48" s="218" t="s">
        <v>276</v>
      </c>
      <c r="Y48" s="9"/>
      <c r="Z48" s="268"/>
      <c r="AA48" s="268"/>
      <c r="AB48" s="219"/>
      <c r="AC48" s="235"/>
      <c r="AD48" s="47"/>
    </row>
    <row r="49" spans="1:30" ht="15" thickBot="1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229"/>
      <c r="Y49" s="230"/>
      <c r="Z49" s="267" t="e">
        <f>SUM(Z38:Z48)</f>
        <v>#DIV/0!</v>
      </c>
      <c r="AA49" s="267" t="e">
        <f>SUM(AA38:AA48)</f>
        <v>#DIV/0!</v>
      </c>
      <c r="AB49" s="231"/>
      <c r="AC49" s="235"/>
      <c r="AD49" s="47"/>
    </row>
    <row r="50" spans="1:30" x14ac:dyDescent="0.3">
      <c r="A50" s="60"/>
      <c r="B50" s="62" t="s">
        <v>305</v>
      </c>
      <c r="C50" s="62"/>
      <c r="D50" s="62"/>
      <c r="E50" s="62"/>
      <c r="F50" s="62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Y50" s="49"/>
      <c r="Z50" s="47"/>
      <c r="AA50" s="235" t="e">
        <f>+Z49-AA49</f>
        <v>#DIV/0!</v>
      </c>
      <c r="AB50" s="47"/>
      <c r="AC50" s="47"/>
      <c r="AD50" s="47"/>
    </row>
    <row r="51" spans="1:30" x14ac:dyDescent="0.3">
      <c r="A51" s="60"/>
      <c r="B51" s="62" t="s">
        <v>306</v>
      </c>
      <c r="C51" s="62"/>
      <c r="D51" s="62"/>
      <c r="E51" s="62"/>
      <c r="F51" s="62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232"/>
      <c r="W51" s="60"/>
      <c r="Y51" s="50"/>
      <c r="Z51" s="47"/>
      <c r="AA51" s="47"/>
      <c r="AB51" s="47"/>
      <c r="AC51" s="47"/>
      <c r="AD51" s="47"/>
    </row>
    <row r="52" spans="1:30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Y52" s="47"/>
      <c r="Z52" s="47"/>
      <c r="AA52" s="47"/>
      <c r="AB52" s="47"/>
      <c r="AC52" s="47"/>
      <c r="AD52" s="47"/>
    </row>
    <row r="53" spans="1:30" x14ac:dyDescent="0.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Y53" s="47"/>
      <c r="Z53" s="47"/>
      <c r="AA53" s="47"/>
      <c r="AB53" s="47"/>
      <c r="AC53" s="47"/>
      <c r="AD53" s="47"/>
    </row>
    <row r="54" spans="1:30" x14ac:dyDescent="0.3">
      <c r="A54" s="6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AC54" s="60"/>
      <c r="AD54" s="60"/>
    </row>
    <row r="56" spans="1:30" x14ac:dyDescent="0.3">
      <c r="A56" s="60"/>
      <c r="B56" s="60"/>
      <c r="C56" s="60"/>
      <c r="D56" s="60"/>
      <c r="E56" s="60"/>
      <c r="F56" s="60"/>
      <c r="G56" s="6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60"/>
      <c r="V56" s="60"/>
      <c r="W56" s="60"/>
      <c r="AC56" s="60"/>
      <c r="AD56" s="60"/>
    </row>
    <row r="57" spans="1:30" x14ac:dyDescent="0.3">
      <c r="A57" s="60"/>
      <c r="B57" s="60"/>
      <c r="C57" s="60"/>
      <c r="D57" s="60"/>
      <c r="E57" s="60"/>
      <c r="F57" s="60"/>
      <c r="G57" s="60"/>
      <c r="H57" s="2"/>
      <c r="I57" s="2"/>
      <c r="J57" s="2"/>
      <c r="K57" s="60"/>
      <c r="L57" s="2"/>
      <c r="M57" s="2"/>
      <c r="N57" s="2"/>
      <c r="O57" s="60"/>
      <c r="P57" s="2"/>
      <c r="Q57" s="2"/>
      <c r="R57" s="2"/>
      <c r="S57" s="60"/>
      <c r="T57" s="60"/>
      <c r="U57" s="60"/>
      <c r="V57" s="60"/>
      <c r="W57" s="60"/>
      <c r="AC57" s="60"/>
      <c r="AD57" s="60"/>
    </row>
    <row r="58" spans="1:30" x14ac:dyDescent="0.3">
      <c r="A58" s="60"/>
      <c r="B58" s="60"/>
      <c r="C58" s="60"/>
      <c r="D58" s="60"/>
      <c r="E58" s="60"/>
      <c r="F58" s="60"/>
      <c r="G58" s="60"/>
      <c r="H58" s="2"/>
      <c r="I58" s="2"/>
      <c r="J58" s="2"/>
      <c r="K58" s="60"/>
      <c r="L58" s="2"/>
      <c r="M58" s="2"/>
      <c r="N58" s="2"/>
      <c r="O58" s="60"/>
      <c r="P58" s="2"/>
      <c r="Q58" s="2"/>
      <c r="R58" s="2"/>
      <c r="S58" s="60"/>
      <c r="T58" s="9"/>
      <c r="U58" s="60"/>
      <c r="V58" s="60"/>
      <c r="W58" s="60"/>
      <c r="AC58" s="60"/>
      <c r="AD58" s="60"/>
    </row>
    <row r="59" spans="1:30" x14ac:dyDescent="0.3">
      <c r="A59" s="60"/>
      <c r="B59" s="60"/>
      <c r="C59" s="60"/>
      <c r="D59" s="60"/>
      <c r="E59" s="60"/>
      <c r="F59" s="60"/>
      <c r="G59" s="60"/>
      <c r="H59" s="2"/>
      <c r="I59" s="2"/>
      <c r="J59" s="2"/>
      <c r="K59" s="60"/>
      <c r="L59" s="2"/>
      <c r="M59" s="2"/>
      <c r="N59" s="2"/>
      <c r="O59" s="60"/>
      <c r="P59" s="2"/>
      <c r="Q59" s="2"/>
      <c r="R59" s="2"/>
      <c r="S59" s="60"/>
      <c r="T59" s="60"/>
      <c r="U59" s="60"/>
      <c r="V59" s="60"/>
      <c r="W59" s="60"/>
      <c r="AC59" s="60"/>
      <c r="AD59" s="60"/>
    </row>
    <row r="60" spans="1:30" x14ac:dyDescent="0.3">
      <c r="A60" s="60"/>
      <c r="B60" s="60"/>
      <c r="C60" s="60"/>
      <c r="D60" s="60"/>
      <c r="E60" s="60"/>
      <c r="F60" s="60"/>
      <c r="G60" s="60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60"/>
      <c r="AC60" s="60"/>
      <c r="AD60" s="60"/>
    </row>
  </sheetData>
  <mergeCells count="4">
    <mergeCell ref="H3:J3"/>
    <mergeCell ref="L3:N3"/>
    <mergeCell ref="P3:R3"/>
    <mergeCell ref="T3:V3"/>
  </mergeCells>
  <pageMargins left="0.7" right="0.7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022414-5a2f-4075-8b26-176fc7da3d1b">
      <Terms xmlns="http://schemas.microsoft.com/office/infopath/2007/PartnerControls"/>
    </lcf76f155ced4ddcb4097134ff3c332f>
    <TaxCatchAll xmlns="c3a5d4b4-c318-4134-87ec-7332785e5f8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BD24F33077044AB7EBF8088B4A84CD" ma:contentTypeVersion="12" ma:contentTypeDescription="Create a new document." ma:contentTypeScope="" ma:versionID="b8637de5b0d7f042bd32723793d106ee">
  <xsd:schema xmlns:xsd="http://www.w3.org/2001/XMLSchema" xmlns:xs="http://www.w3.org/2001/XMLSchema" xmlns:p="http://schemas.microsoft.com/office/2006/metadata/properties" xmlns:ns2="1f022414-5a2f-4075-8b26-176fc7da3d1b" xmlns:ns3="c3a5d4b4-c318-4134-87ec-7332785e5f80" targetNamespace="http://schemas.microsoft.com/office/2006/metadata/properties" ma:root="true" ma:fieldsID="0f7b2d9ae0a6e34ba8209dab8b9fe8b1" ns2:_="" ns3:_="">
    <xsd:import namespace="1f022414-5a2f-4075-8b26-176fc7da3d1b"/>
    <xsd:import namespace="c3a5d4b4-c318-4134-87ec-7332785e5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022414-5a2f-4075-8b26-176fc7da3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1e2cd6c-b1be-4e6a-9b66-ce98e61f5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d4b4-c318-4134-87ec-7332785e5f8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f845e6a-968d-4dcb-b592-0a77b739fcd4}" ma:internalName="TaxCatchAll" ma:showField="CatchAllData" ma:web="c3a5d4b4-c318-4134-87ec-7332785e5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E1DA-F5FC-488A-9F8C-0DEA268EB0F0}">
  <ds:schemaRefs>
    <ds:schemaRef ds:uri="http://schemas.microsoft.com/office/2006/metadata/properties"/>
    <ds:schemaRef ds:uri="http://schemas.microsoft.com/office/infopath/2007/PartnerControls"/>
    <ds:schemaRef ds:uri="1f022414-5a2f-4075-8b26-176fc7da3d1b"/>
    <ds:schemaRef ds:uri="c3a5d4b4-c318-4134-87ec-7332785e5f80"/>
  </ds:schemaRefs>
</ds:datastoreItem>
</file>

<file path=customXml/itemProps2.xml><?xml version="1.0" encoding="utf-8"?>
<ds:datastoreItem xmlns:ds="http://schemas.openxmlformats.org/officeDocument/2006/customXml" ds:itemID="{42585624-5188-4D46-B451-3BE48B28F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022414-5a2f-4075-8b26-176fc7da3d1b"/>
    <ds:schemaRef ds:uri="c3a5d4b4-c318-4134-87ec-7332785e5f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8185F-8B14-44AF-BCDC-A28AA9A86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2024 Data</vt:lpstr>
      <vt:lpstr>2023 Data</vt:lpstr>
      <vt:lpstr>Regular</vt:lpstr>
      <vt:lpstr>Reg - Amort</vt:lpstr>
      <vt:lpstr>Sheriffs and Deputies</vt:lpstr>
      <vt:lpstr>S + D Amort</vt:lpstr>
      <vt:lpstr>Protection Occupation</vt:lpstr>
      <vt:lpstr>Pro Occ Amort</vt:lpstr>
      <vt:lpstr>Journal Entry Summary</vt:lpstr>
      <vt:lpstr>Allocation Govt &amp; BT</vt:lpstr>
      <vt:lpstr>Amort Summary</vt:lpstr>
      <vt:lpstr>Note Info</vt:lpstr>
      <vt:lpstr>Proportionate Change Calculator</vt:lpstr>
      <vt:lpstr>'Protection Occupation'!Print_Area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Nielsen</dc:creator>
  <cp:keywords/>
  <dc:description/>
  <cp:lastModifiedBy>Katherine Rupp</cp:lastModifiedBy>
  <cp:revision/>
  <dcterms:created xsi:type="dcterms:W3CDTF">2014-04-15T17:03:52Z</dcterms:created>
  <dcterms:modified xsi:type="dcterms:W3CDTF">2025-02-24T14:21:49Z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0x01010090BD24F33077044AB7EBF8088B4A84CD</vt:lpwstr>
  </op:property>
  <op:property fmtid="{D5CDD505-2E9C-101B-9397-08002B2CF9AE}" pid="3" name="MSIP_Label_c250da75-2235-4d47-9f6a-be9d9abca636_Enabled">
    <vt:lpwstr>true</vt:lpwstr>
  </op:property>
  <op:property fmtid="{D5CDD505-2E9C-101B-9397-08002B2CF9AE}" pid="4" name="MSIP_Label_c250da75-2235-4d47-9f6a-be9d9abca636_SetDate">
    <vt:lpwstr>2024-02-20T16:42:08Z</vt:lpwstr>
  </op:property>
  <op:property fmtid="{D5CDD505-2E9C-101B-9397-08002B2CF9AE}" pid="5" name="MSIP_Label_c250da75-2235-4d47-9f6a-be9d9abca636_Method">
    <vt:lpwstr>Standard</vt:lpwstr>
  </op:property>
  <op:property fmtid="{D5CDD505-2E9C-101B-9397-08002B2CF9AE}" pid="6" name="MSIP_Label_c250da75-2235-4d47-9f6a-be9d9abca636_Name">
    <vt:lpwstr>defa4170-0d19-0005-0004-bc88714345d2</vt:lpwstr>
  </op:property>
  <op:property fmtid="{D5CDD505-2E9C-101B-9397-08002B2CF9AE}" pid="7" name="MSIP_Label_c250da75-2235-4d47-9f6a-be9d9abca636_SiteId">
    <vt:lpwstr>c7bd7ada-12f0-4ceb-9643-c9534f1b123a</vt:lpwstr>
  </op:property>
  <op:property fmtid="{D5CDD505-2E9C-101B-9397-08002B2CF9AE}" pid="8" name="MSIP_Label_c250da75-2235-4d47-9f6a-be9d9abca636_ActionId">
    <vt:lpwstr>bf8b7b90-3e88-42bf-a5f3-5430b263e1ab</vt:lpwstr>
  </op:property>
  <op:property fmtid="{D5CDD505-2E9C-101B-9397-08002B2CF9AE}" pid="9" name="MSIP_Label_c250da75-2235-4d47-9f6a-be9d9abca636_ContentBits">
    <vt:lpwstr>0</vt:lpwstr>
  </op:property>
  <op:property fmtid="{D5CDD505-2E9C-101B-9397-08002B2CF9AE}" pid="10" name="Version">
    <vt:i4>20</vt:i4>
  </op:property>
  <op:property fmtid="{D5CDD505-2E9C-101B-9397-08002B2CF9AE}" pid="11" name="tabName">
    <vt:lpwstr>Brown File - Mgr GASB 68 Calculator Prep</vt:lpwstr>
  </op:property>
  <op:property fmtid="{D5CDD505-2E9C-101B-9397-08002B2CF9AE}" pid="12" name="tabIndex">
    <vt:lpwstr>99000</vt:lpwstr>
  </op:property>
  <op:property fmtid="{D5CDD505-2E9C-101B-9397-08002B2CF9AE}" pid="13" name="workpaperIndex">
    <vt:lpwstr>99000.10</vt:lpwstr>
  </op:property>
</op:Properties>
</file>